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K:\Projects\Tribal\OglalaSioux\1911_00374_BIA2_KyletoSD44\2021RAISE\Website\DATA\"/>
    </mc:Choice>
  </mc:AlternateContent>
  <xr:revisionPtr revIDLastSave="0" documentId="8_{0859D55C-8336-4283-9375-B27CF9653C8D}" xr6:coauthVersionLast="43" xr6:coauthVersionMax="43" xr10:uidLastSave="{00000000-0000-0000-0000-000000000000}"/>
  <bookViews>
    <workbookView xWindow="-120" yWindow="-120" windowWidth="29040" windowHeight="17640" firstSheet="4" activeTab="9" xr2:uid="{12B9C1C6-89BA-46DC-8307-A6332E23E8D2}"/>
  </bookViews>
  <sheets>
    <sheet name="RAISE Matrix" sheetId="1" r:id="rId1"/>
    <sheet name="Summary Matrix" sheetId="2" r:id="rId2"/>
    <sheet name="NoBuild-Deferred Maintenance" sheetId="17" r:id="rId3"/>
    <sheet name="NoBuild-Required Safety Improve" sheetId="18" r:id="rId4"/>
    <sheet name="Initial Cost" sheetId="3" r:id="rId5"/>
    <sheet name="Maintenance Cost" sheetId="16" r:id="rId6"/>
    <sheet name="State of Good Repair" sheetId="19" r:id="rId7"/>
    <sheet name="Travel Time Savings" sheetId="4" r:id="rId8"/>
    <sheet name="Tourism Economic Growth" sheetId="20" r:id="rId9"/>
    <sheet name="Crash Reduction Savings" sheetId="7" r:id="rId10"/>
    <sheet name="EMS Response Savings" sheetId="9" r:id="rId11"/>
    <sheet name="Environmental Savings" sheetId="10" r:id="rId12"/>
    <sheet name="Pathway Health Savings" sheetId="21" r:id="rId13"/>
    <sheet name="Discount" sheetId="8" r:id="rId14"/>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17" i="3" l="1"/>
  <c r="F111" i="3"/>
  <c r="F112" i="3"/>
  <c r="F115" i="3"/>
  <c r="F119" i="3"/>
  <c r="F108" i="3"/>
  <c r="F61" i="3"/>
  <c r="F62" i="3"/>
  <c r="F63" i="3"/>
  <c r="F64" i="3"/>
  <c r="F65" i="3"/>
  <c r="F36" i="3"/>
  <c r="F10" i="3"/>
  <c r="F11" i="3"/>
  <c r="F12" i="3"/>
  <c r="F13" i="3"/>
  <c r="F14" i="3"/>
  <c r="F15" i="3"/>
  <c r="F16" i="3"/>
  <c r="F17" i="3"/>
  <c r="F18" i="3"/>
  <c r="F19" i="3"/>
  <c r="F20" i="3"/>
  <c r="F21" i="3"/>
  <c r="F22" i="3"/>
  <c r="F23" i="3"/>
  <c r="F24" i="3"/>
  <c r="F25" i="3"/>
  <c r="F26" i="3"/>
  <c r="F27" i="3"/>
  <c r="F28" i="3"/>
  <c r="F29" i="3"/>
  <c r="F30" i="3"/>
  <c r="F31" i="3"/>
  <c r="F32" i="3"/>
  <c r="F33" i="3"/>
  <c r="F34" i="3"/>
  <c r="F35" i="3"/>
  <c r="F37" i="3"/>
  <c r="C38" i="3"/>
  <c r="F38" i="3"/>
  <c r="F39" i="3"/>
  <c r="F40" i="3"/>
  <c r="F41" i="3"/>
  <c r="F42" i="3"/>
  <c r="F43" i="3"/>
  <c r="F44" i="3"/>
  <c r="F45" i="3"/>
  <c r="C46" i="3"/>
  <c r="F46" i="3"/>
  <c r="F47" i="3"/>
  <c r="C48" i="3"/>
  <c r="F48" i="3"/>
  <c r="F49" i="3"/>
  <c r="C50" i="3"/>
  <c r="F50" i="3"/>
  <c r="F51" i="3"/>
  <c r="C52" i="3"/>
  <c r="F52" i="3"/>
  <c r="F53" i="3"/>
  <c r="F54" i="3"/>
  <c r="F55" i="3"/>
  <c r="C56" i="3"/>
  <c r="F56" i="3"/>
  <c r="F57" i="3"/>
  <c r="F58" i="3"/>
  <c r="F59" i="3"/>
  <c r="F60" i="3"/>
  <c r="F66" i="3"/>
  <c r="F67" i="3"/>
  <c r="F68" i="3"/>
  <c r="F69" i="3"/>
  <c r="F70" i="3"/>
  <c r="F71" i="3"/>
  <c r="F72" i="3"/>
  <c r="F73" i="3"/>
  <c r="C74" i="3"/>
  <c r="F74" i="3"/>
  <c r="C75" i="3"/>
  <c r="F75" i="3"/>
  <c r="F76" i="3"/>
  <c r="F77" i="3"/>
  <c r="F78" i="3"/>
  <c r="F79" i="3"/>
  <c r="F80" i="3"/>
  <c r="C81" i="3"/>
  <c r="F81" i="3"/>
  <c r="F82" i="3"/>
  <c r="F83" i="3"/>
  <c r="F84" i="3"/>
  <c r="F85" i="3"/>
  <c r="F86" i="3"/>
  <c r="F87" i="3"/>
  <c r="F88" i="3"/>
  <c r="F89" i="3"/>
  <c r="F90" i="3"/>
  <c r="F91" i="3"/>
  <c r="C92" i="3"/>
  <c r="F92" i="3"/>
  <c r="F93" i="3"/>
  <c r="F94" i="3"/>
  <c r="F95" i="3"/>
  <c r="F96" i="3"/>
  <c r="F97" i="3"/>
  <c r="F98" i="3"/>
  <c r="F99" i="3"/>
  <c r="F100" i="3"/>
  <c r="F101" i="3"/>
  <c r="F102" i="3"/>
  <c r="F103" i="3"/>
  <c r="F104" i="3"/>
  <c r="F105" i="3"/>
  <c r="F106" i="3"/>
  <c r="F107" i="3"/>
  <c r="F109" i="3"/>
  <c r="F110" i="3"/>
  <c r="B148" i="3"/>
  <c r="C148" i="3"/>
  <c r="D148" i="3"/>
  <c r="E148" i="3"/>
  <c r="E149" i="3"/>
  <c r="E11" i="2"/>
  <c r="D127" i="3"/>
  <c r="E127" i="3"/>
  <c r="D128" i="3"/>
  <c r="E128" i="3"/>
  <c r="E133" i="3"/>
  <c r="D129" i="3"/>
  <c r="E129" i="3"/>
  <c r="D130" i="3"/>
  <c r="E130" i="3"/>
  <c r="E136" i="3"/>
  <c r="F137" i="3"/>
  <c r="D16" i="2"/>
  <c r="E16" i="2"/>
  <c r="F9" i="2"/>
  <c r="F12" i="2"/>
  <c r="I52" i="10"/>
  <c r="I53" i="10"/>
  <c r="I56" i="10"/>
  <c r="I57" i="10"/>
  <c r="L58" i="10"/>
  <c r="J68" i="10"/>
  <c r="M94" i="10"/>
  <c r="N94" i="10"/>
  <c r="P94" i="10"/>
  <c r="C15" i="10"/>
  <c r="J66" i="10"/>
  <c r="M139" i="10"/>
  <c r="N139" i="10"/>
  <c r="P139" i="10"/>
  <c r="D15" i="10"/>
  <c r="Q139" i="10"/>
  <c r="E15" i="10"/>
  <c r="J67" i="10"/>
  <c r="E229" i="10"/>
  <c r="F229" i="10"/>
  <c r="H229" i="10"/>
  <c r="F15" i="10"/>
  <c r="G15" i="10"/>
  <c r="H15" i="10"/>
  <c r="L59" i="10"/>
  <c r="K68" i="10"/>
  <c r="M95" i="10"/>
  <c r="N95" i="10"/>
  <c r="P95" i="10"/>
  <c r="C16" i="10"/>
  <c r="K66" i="10"/>
  <c r="M140" i="10"/>
  <c r="N140" i="10"/>
  <c r="P140" i="10"/>
  <c r="D16" i="10"/>
  <c r="Q140" i="10"/>
  <c r="E16" i="10"/>
  <c r="K67" i="10"/>
  <c r="E230" i="10"/>
  <c r="F230" i="10"/>
  <c r="H230" i="10"/>
  <c r="F16" i="10"/>
  <c r="G16" i="10"/>
  <c r="H16" i="10"/>
  <c r="L60" i="10"/>
  <c r="L68" i="10"/>
  <c r="M96" i="10"/>
  <c r="N96" i="10"/>
  <c r="P96" i="10"/>
  <c r="C17" i="10"/>
  <c r="L66" i="10"/>
  <c r="M141" i="10"/>
  <c r="N141" i="10"/>
  <c r="P141" i="10"/>
  <c r="D17" i="10"/>
  <c r="Q141" i="10"/>
  <c r="E17" i="10"/>
  <c r="L67" i="10"/>
  <c r="E231" i="10"/>
  <c r="F231" i="10"/>
  <c r="H231" i="10"/>
  <c r="F17" i="10"/>
  <c r="G17" i="10"/>
  <c r="H17" i="10"/>
  <c r="H48" i="10"/>
  <c r="E14" i="2"/>
  <c r="F14" i="2"/>
  <c r="F15" i="2"/>
  <c r="G9" i="2"/>
  <c r="E12" i="2"/>
  <c r="E13" i="2"/>
  <c r="AJ76" i="7"/>
  <c r="AK74" i="7"/>
  <c r="AK73" i="7"/>
  <c r="AK72" i="7"/>
  <c r="AK71" i="7"/>
  <c r="AK70" i="7"/>
  <c r="AK69" i="7"/>
  <c r="AJ74" i="7"/>
  <c r="AJ73" i="7"/>
  <c r="AJ72" i="7"/>
  <c r="AJ71" i="7"/>
  <c r="AJ70" i="7"/>
  <c r="AJ69" i="7"/>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E9" i="2"/>
  <c r="E10" i="2"/>
  <c r="G26" i="4"/>
  <c r="H26" i="4"/>
  <c r="G27" i="4"/>
  <c r="H27" i="4"/>
  <c r="G28" i="4"/>
  <c r="H28" i="4"/>
  <c r="G29" i="4"/>
  <c r="H29" i="4"/>
  <c r="G30" i="4"/>
  <c r="H30" i="4"/>
  <c r="G31" i="4"/>
  <c r="H31" i="4"/>
  <c r="G32" i="4"/>
  <c r="H32" i="4"/>
  <c r="G33" i="4"/>
  <c r="H33" i="4"/>
  <c r="G34" i="4"/>
  <c r="H34" i="4"/>
  <c r="G35" i="4"/>
  <c r="H35" i="4"/>
  <c r="G36" i="4"/>
  <c r="H36" i="4"/>
  <c r="G37" i="4"/>
  <c r="H37" i="4"/>
  <c r="G38" i="4"/>
  <c r="H38" i="4"/>
  <c r="G39" i="4"/>
  <c r="H39" i="4"/>
  <c r="G40" i="4"/>
  <c r="H40" i="4"/>
  <c r="G41" i="4"/>
  <c r="H41" i="4"/>
  <c r="G42" i="4"/>
  <c r="H42" i="4"/>
  <c r="G43" i="4"/>
  <c r="H43" i="4"/>
  <c r="G44" i="4"/>
  <c r="H44" i="4"/>
  <c r="G45" i="4"/>
  <c r="H45" i="4"/>
  <c r="H56" i="4"/>
  <c r="E15" i="2"/>
  <c r="E89" i="16"/>
  <c r="D83" i="16"/>
  <c r="E83" i="16"/>
  <c r="D82" i="16"/>
  <c r="F71" i="16"/>
  <c r="F72" i="16"/>
  <c r="F73" i="16"/>
  <c r="F74" i="16"/>
  <c r="F76" i="16"/>
  <c r="F77" i="16"/>
  <c r="F58" i="16"/>
  <c r="F59" i="16"/>
  <c r="F60" i="16"/>
  <c r="F61" i="16"/>
  <c r="F62" i="16"/>
  <c r="F64" i="16"/>
  <c r="F65" i="16"/>
  <c r="E82" i="16"/>
  <c r="F31" i="16"/>
  <c r="F32" i="16"/>
  <c r="F33" i="16"/>
  <c r="F34" i="16"/>
  <c r="F35" i="16"/>
  <c r="F36" i="16"/>
  <c r="F37" i="16"/>
  <c r="F38" i="16"/>
  <c r="F39" i="16"/>
  <c r="F40" i="16"/>
  <c r="F41" i="16"/>
  <c r="F42" i="16"/>
  <c r="F43" i="16"/>
  <c r="F44" i="16"/>
  <c r="F45" i="16"/>
  <c r="F46" i="16"/>
  <c r="F47" i="16"/>
  <c r="F48" i="16"/>
  <c r="F49" i="16"/>
  <c r="F51" i="16"/>
  <c r="F52" i="16"/>
  <c r="F10" i="16"/>
  <c r="F11" i="16"/>
  <c r="F12" i="16"/>
  <c r="F13" i="16"/>
  <c r="F14" i="16"/>
  <c r="F15" i="16"/>
  <c r="F16" i="16"/>
  <c r="F17" i="16"/>
  <c r="F18" i="16"/>
  <c r="F19" i="16"/>
  <c r="F20" i="16"/>
  <c r="F21" i="16"/>
  <c r="F22" i="16"/>
  <c r="E23" i="16"/>
  <c r="F23" i="16"/>
  <c r="F24" i="16"/>
  <c r="W69" i="7"/>
  <c r="E6" i="7"/>
  <c r="D32" i="7"/>
  <c r="Z69" i="7"/>
  <c r="G6" i="7"/>
  <c r="I6" i="7"/>
  <c r="J32" i="7"/>
  <c r="X70" i="7"/>
  <c r="E7" i="7"/>
  <c r="E32" i="7"/>
  <c r="Z70" i="7"/>
  <c r="G7" i="7"/>
  <c r="I7" i="7"/>
  <c r="K32" i="7"/>
  <c r="X71" i="7"/>
  <c r="E8" i="7"/>
  <c r="F32" i="7"/>
  <c r="Z71" i="7"/>
  <c r="G8" i="7"/>
  <c r="I8" i="7"/>
  <c r="L32" i="7"/>
  <c r="X72" i="7"/>
  <c r="E9" i="7"/>
  <c r="G32" i="7"/>
  <c r="Z72" i="7"/>
  <c r="G9" i="7"/>
  <c r="I9" i="7"/>
  <c r="M32" i="7"/>
  <c r="X73" i="7"/>
  <c r="E10" i="7"/>
  <c r="H32" i="7"/>
  <c r="Z73" i="7"/>
  <c r="G10" i="7"/>
  <c r="I10" i="7"/>
  <c r="N32" i="7"/>
  <c r="X74" i="7"/>
  <c r="E11" i="7"/>
  <c r="I32" i="7"/>
  <c r="Z74" i="7"/>
  <c r="G11" i="7"/>
  <c r="I11" i="7"/>
  <c r="O32" i="7"/>
  <c r="P32" i="7"/>
  <c r="Q32" i="7"/>
  <c r="R32" i="7"/>
  <c r="S32" i="7"/>
  <c r="D33" i="7"/>
  <c r="J33" i="7"/>
  <c r="E33" i="7"/>
  <c r="K33" i="7"/>
  <c r="F33" i="7"/>
  <c r="L33" i="7"/>
  <c r="G33" i="7"/>
  <c r="M33" i="7"/>
  <c r="H33" i="7"/>
  <c r="N33" i="7"/>
  <c r="I33" i="7"/>
  <c r="O33" i="7"/>
  <c r="P33" i="7"/>
  <c r="Q33" i="7"/>
  <c r="R33" i="7"/>
  <c r="S33" i="7"/>
  <c r="D34" i="7"/>
  <c r="J34" i="7"/>
  <c r="E34" i="7"/>
  <c r="K34" i="7"/>
  <c r="F34" i="7"/>
  <c r="L34" i="7"/>
  <c r="G34" i="7"/>
  <c r="M34" i="7"/>
  <c r="H34" i="7"/>
  <c r="N34" i="7"/>
  <c r="I34" i="7"/>
  <c r="O34" i="7"/>
  <c r="P34" i="7"/>
  <c r="Q34" i="7"/>
  <c r="R34" i="7"/>
  <c r="S34" i="7"/>
  <c r="D35" i="7"/>
  <c r="J35" i="7"/>
  <c r="E35" i="7"/>
  <c r="K35" i="7"/>
  <c r="F35" i="7"/>
  <c r="L35" i="7"/>
  <c r="G35" i="7"/>
  <c r="M35" i="7"/>
  <c r="H35" i="7"/>
  <c r="N35" i="7"/>
  <c r="I35" i="7"/>
  <c r="O35" i="7"/>
  <c r="P35" i="7"/>
  <c r="Q35" i="7"/>
  <c r="R35" i="7"/>
  <c r="S35" i="7"/>
  <c r="D36" i="7"/>
  <c r="J36" i="7"/>
  <c r="E36" i="7"/>
  <c r="K36" i="7"/>
  <c r="F36" i="7"/>
  <c r="L36" i="7"/>
  <c r="G36" i="7"/>
  <c r="M36" i="7"/>
  <c r="H36" i="7"/>
  <c r="N36" i="7"/>
  <c r="I36" i="7"/>
  <c r="O36" i="7"/>
  <c r="P36" i="7"/>
  <c r="Q36" i="7"/>
  <c r="R36" i="7"/>
  <c r="S36" i="7"/>
  <c r="D37" i="7"/>
  <c r="J37" i="7"/>
  <c r="E37" i="7"/>
  <c r="K37" i="7"/>
  <c r="F37" i="7"/>
  <c r="L37" i="7"/>
  <c r="G37" i="7"/>
  <c r="M37" i="7"/>
  <c r="H37" i="7"/>
  <c r="N37" i="7"/>
  <c r="I37" i="7"/>
  <c r="O37" i="7"/>
  <c r="P37" i="7"/>
  <c r="Q37" i="7"/>
  <c r="R37" i="7"/>
  <c r="S37" i="7"/>
  <c r="D38" i="7"/>
  <c r="J38" i="7"/>
  <c r="E38" i="7"/>
  <c r="K38" i="7"/>
  <c r="F38" i="7"/>
  <c r="L38" i="7"/>
  <c r="G38" i="7"/>
  <c r="M38" i="7"/>
  <c r="H38" i="7"/>
  <c r="N38" i="7"/>
  <c r="I38" i="7"/>
  <c r="O38" i="7"/>
  <c r="P38" i="7"/>
  <c r="Q38" i="7"/>
  <c r="R38" i="7"/>
  <c r="S38" i="7"/>
  <c r="D39" i="7"/>
  <c r="J39" i="7"/>
  <c r="E39" i="7"/>
  <c r="K39" i="7"/>
  <c r="F39" i="7"/>
  <c r="L39" i="7"/>
  <c r="G39" i="7"/>
  <c r="M39" i="7"/>
  <c r="H39" i="7"/>
  <c r="N39" i="7"/>
  <c r="I39" i="7"/>
  <c r="O39" i="7"/>
  <c r="P39" i="7"/>
  <c r="Q39" i="7"/>
  <c r="R39" i="7"/>
  <c r="S39" i="7"/>
  <c r="D40" i="7"/>
  <c r="J40" i="7"/>
  <c r="E40" i="7"/>
  <c r="K40" i="7"/>
  <c r="F40" i="7"/>
  <c r="L40" i="7"/>
  <c r="G40" i="7"/>
  <c r="M40" i="7"/>
  <c r="H40" i="7"/>
  <c r="N40" i="7"/>
  <c r="I40" i="7"/>
  <c r="O40" i="7"/>
  <c r="P40" i="7"/>
  <c r="Q40" i="7"/>
  <c r="R40" i="7"/>
  <c r="S40" i="7"/>
  <c r="D41" i="7"/>
  <c r="J41" i="7"/>
  <c r="E41" i="7"/>
  <c r="K41" i="7"/>
  <c r="F41" i="7"/>
  <c r="L41" i="7"/>
  <c r="G41" i="7"/>
  <c r="M41" i="7"/>
  <c r="H41" i="7"/>
  <c r="N41" i="7"/>
  <c r="I41" i="7"/>
  <c r="O41" i="7"/>
  <c r="P41" i="7"/>
  <c r="Q41" i="7"/>
  <c r="R41" i="7"/>
  <c r="S41" i="7"/>
  <c r="D42" i="7"/>
  <c r="J42" i="7"/>
  <c r="E42" i="7"/>
  <c r="K42" i="7"/>
  <c r="F42" i="7"/>
  <c r="L42" i="7"/>
  <c r="G42" i="7"/>
  <c r="M42" i="7"/>
  <c r="H42" i="7"/>
  <c r="N42" i="7"/>
  <c r="I42" i="7"/>
  <c r="O42" i="7"/>
  <c r="P42" i="7"/>
  <c r="Q42" i="7"/>
  <c r="R42" i="7"/>
  <c r="S42" i="7"/>
  <c r="D43" i="7"/>
  <c r="J43" i="7"/>
  <c r="E43" i="7"/>
  <c r="K43" i="7"/>
  <c r="F43" i="7"/>
  <c r="L43" i="7"/>
  <c r="G43" i="7"/>
  <c r="M43" i="7"/>
  <c r="H43" i="7"/>
  <c r="N43" i="7"/>
  <c r="I43" i="7"/>
  <c r="O43" i="7"/>
  <c r="P43" i="7"/>
  <c r="Q43" i="7"/>
  <c r="R43" i="7"/>
  <c r="S43" i="7"/>
  <c r="D44" i="7"/>
  <c r="J44" i="7"/>
  <c r="E44" i="7"/>
  <c r="K44" i="7"/>
  <c r="F44" i="7"/>
  <c r="L44" i="7"/>
  <c r="G44" i="7"/>
  <c r="M44" i="7"/>
  <c r="H44" i="7"/>
  <c r="N44" i="7"/>
  <c r="I44" i="7"/>
  <c r="O44" i="7"/>
  <c r="P44" i="7"/>
  <c r="Q44" i="7"/>
  <c r="R44" i="7"/>
  <c r="S44" i="7"/>
  <c r="D45" i="7"/>
  <c r="J45" i="7"/>
  <c r="E45" i="7"/>
  <c r="K45" i="7"/>
  <c r="F45" i="7"/>
  <c r="L45" i="7"/>
  <c r="G45" i="7"/>
  <c r="M45" i="7"/>
  <c r="H45" i="7"/>
  <c r="N45" i="7"/>
  <c r="I45" i="7"/>
  <c r="O45" i="7"/>
  <c r="P45" i="7"/>
  <c r="Q45" i="7"/>
  <c r="R45" i="7"/>
  <c r="S45" i="7"/>
  <c r="D46" i="7"/>
  <c r="J46" i="7"/>
  <c r="E46" i="7"/>
  <c r="K46" i="7"/>
  <c r="F46" i="7"/>
  <c r="L46" i="7"/>
  <c r="G46" i="7"/>
  <c r="M46" i="7"/>
  <c r="H46" i="7"/>
  <c r="N46" i="7"/>
  <c r="I46" i="7"/>
  <c r="O46" i="7"/>
  <c r="P46" i="7"/>
  <c r="Q46" i="7"/>
  <c r="R46" i="7"/>
  <c r="S46" i="7"/>
  <c r="D47" i="7"/>
  <c r="J47" i="7"/>
  <c r="E47" i="7"/>
  <c r="K47" i="7"/>
  <c r="F47" i="7"/>
  <c r="L47" i="7"/>
  <c r="G47" i="7"/>
  <c r="M47" i="7"/>
  <c r="H47" i="7"/>
  <c r="N47" i="7"/>
  <c r="I47" i="7"/>
  <c r="O47" i="7"/>
  <c r="P47" i="7"/>
  <c r="Q47" i="7"/>
  <c r="R47" i="7"/>
  <c r="S47" i="7"/>
  <c r="D48" i="7"/>
  <c r="J48" i="7"/>
  <c r="E48" i="7"/>
  <c r="K48" i="7"/>
  <c r="F48" i="7"/>
  <c r="L48" i="7"/>
  <c r="G48" i="7"/>
  <c r="M48" i="7"/>
  <c r="H48" i="7"/>
  <c r="N48" i="7"/>
  <c r="I48" i="7"/>
  <c r="O48" i="7"/>
  <c r="P48" i="7"/>
  <c r="Q48" i="7"/>
  <c r="R48" i="7"/>
  <c r="S48" i="7"/>
  <c r="D49" i="7"/>
  <c r="J49" i="7"/>
  <c r="E49" i="7"/>
  <c r="K49" i="7"/>
  <c r="F49" i="7"/>
  <c r="L49" i="7"/>
  <c r="G49" i="7"/>
  <c r="M49" i="7"/>
  <c r="H49" i="7"/>
  <c r="N49" i="7"/>
  <c r="I49" i="7"/>
  <c r="O49" i="7"/>
  <c r="P49" i="7"/>
  <c r="Q49" i="7"/>
  <c r="R49" i="7"/>
  <c r="S49" i="7"/>
  <c r="S62" i="7"/>
  <c r="E6" i="2"/>
  <c r="E127" i="7"/>
  <c r="F127" i="7"/>
  <c r="G127" i="7"/>
  <c r="E128" i="7"/>
  <c r="F128" i="7"/>
  <c r="G128" i="7"/>
  <c r="G129" i="7"/>
  <c r="H129" i="7"/>
  <c r="E7" i="2"/>
  <c r="B64" i="9"/>
  <c r="C18" i="9"/>
  <c r="D18" i="9"/>
  <c r="C19" i="9"/>
  <c r="D19" i="9"/>
  <c r="C20" i="9"/>
  <c r="D20" i="9"/>
  <c r="C21" i="9"/>
  <c r="D21" i="9"/>
  <c r="C22" i="9"/>
  <c r="D22" i="9"/>
  <c r="C23" i="9"/>
  <c r="D23" i="9"/>
  <c r="C24" i="9"/>
  <c r="D24" i="9"/>
  <c r="C25" i="9"/>
  <c r="D25" i="9"/>
  <c r="C26" i="9"/>
  <c r="D26" i="9"/>
  <c r="C27" i="9"/>
  <c r="D27" i="9"/>
  <c r="C28" i="9"/>
  <c r="D28" i="9"/>
  <c r="C29" i="9"/>
  <c r="D29" i="9"/>
  <c r="C30" i="9"/>
  <c r="D30" i="9"/>
  <c r="C31" i="9"/>
  <c r="D31" i="9"/>
  <c r="C32" i="9"/>
  <c r="D32" i="9"/>
  <c r="C33" i="9"/>
  <c r="D33" i="9"/>
  <c r="C34" i="9"/>
  <c r="D34" i="9"/>
  <c r="C35" i="9"/>
  <c r="D35" i="9"/>
  <c r="C36" i="9"/>
  <c r="D36" i="9"/>
  <c r="C37" i="9"/>
  <c r="D37" i="9"/>
  <c r="C38" i="9"/>
  <c r="D38" i="9"/>
  <c r="C39" i="9"/>
  <c r="D39" i="9"/>
  <c r="C40" i="9"/>
  <c r="D40" i="9"/>
  <c r="C41" i="9"/>
  <c r="D41" i="9"/>
  <c r="C42" i="9"/>
  <c r="D42" i="9"/>
  <c r="C43" i="9"/>
  <c r="D43" i="9"/>
  <c r="C44" i="9"/>
  <c r="D44" i="9"/>
  <c r="C45" i="9"/>
  <c r="D45" i="9"/>
  <c r="C46" i="9"/>
  <c r="D46" i="9"/>
  <c r="C47" i="9"/>
  <c r="D47" i="9"/>
  <c r="D48" i="9"/>
  <c r="E8" i="2"/>
  <c r="E17" i="2"/>
  <c r="R62" i="7"/>
  <c r="D6" i="2"/>
  <c r="D7" i="2"/>
  <c r="C48" i="9"/>
  <c r="D8" i="2"/>
  <c r="D9" i="2"/>
  <c r="D10" i="2"/>
  <c r="D149" i="3"/>
  <c r="D11" i="2"/>
  <c r="G46" i="4"/>
  <c r="G47" i="4"/>
  <c r="G48" i="4"/>
  <c r="G49" i="4"/>
  <c r="G50" i="4"/>
  <c r="G51" i="4"/>
  <c r="G52" i="4"/>
  <c r="G53" i="4"/>
  <c r="G54" i="4"/>
  <c r="G55" i="4"/>
  <c r="G56" i="4"/>
  <c r="D12" i="2"/>
  <c r="D13" i="2"/>
  <c r="G48" i="10"/>
  <c r="D14" i="2"/>
  <c r="D15" i="2"/>
  <c r="D17" i="2"/>
  <c r="G47" i="21"/>
  <c r="G46" i="21"/>
  <c r="G45" i="21"/>
  <c r="G44" i="21"/>
  <c r="G43" i="21"/>
  <c r="G42" i="21"/>
  <c r="G41" i="21"/>
  <c r="G40" i="21"/>
  <c r="G39" i="21"/>
  <c r="G38"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G7" i="21"/>
  <c r="F47" i="21"/>
  <c r="F46" i="21"/>
  <c r="F45" i="21"/>
  <c r="F44" i="21"/>
  <c r="F43" i="21"/>
  <c r="F42" i="21"/>
  <c r="F41" i="21"/>
  <c r="F40" i="21"/>
  <c r="F39" i="21"/>
  <c r="F38" i="21"/>
  <c r="F37" i="21"/>
  <c r="F36" i="21"/>
  <c r="F35" i="21"/>
  <c r="F34" i="21"/>
  <c r="F33" i="21"/>
  <c r="F32" i="21"/>
  <c r="F31" i="21"/>
  <c r="F30" i="21"/>
  <c r="F29" i="21"/>
  <c r="F28" i="21"/>
  <c r="F27" i="21"/>
  <c r="F26" i="21"/>
  <c r="F25" i="21"/>
  <c r="F24" i="21"/>
  <c r="F23" i="21"/>
  <c r="F22" i="21"/>
  <c r="F21" i="21"/>
  <c r="F20" i="21"/>
  <c r="F19" i="21"/>
  <c r="F18" i="21"/>
  <c r="F17" i="21"/>
  <c r="F16" i="21"/>
  <c r="F15" i="21"/>
  <c r="F14" i="21"/>
  <c r="F13" i="21"/>
  <c r="G48" i="21"/>
  <c r="F48" i="21"/>
  <c r="D48" i="21"/>
  <c r="E15" i="21"/>
  <c r="E16" i="21"/>
  <c r="E17" i="21"/>
  <c r="E48" i="21"/>
  <c r="F6" i="2"/>
  <c r="G6" i="2"/>
  <c r="B12" i="20"/>
  <c r="C15" i="20"/>
  <c r="B6" i="20"/>
  <c r="C16" i="20"/>
  <c r="C17" i="20"/>
  <c r="C18" i="20"/>
  <c r="C19" i="20"/>
  <c r="C20" i="20"/>
  <c r="C21" i="20"/>
  <c r="C22" i="20"/>
  <c r="C23" i="20"/>
  <c r="C24" i="20"/>
  <c r="C25" i="20"/>
  <c r="C26" i="20"/>
  <c r="D26" i="20"/>
  <c r="E26" i="20"/>
  <c r="C27" i="20"/>
  <c r="D27" i="20"/>
  <c r="E27" i="20"/>
  <c r="C28" i="20"/>
  <c r="D28" i="20"/>
  <c r="E28" i="20"/>
  <c r="C29" i="20"/>
  <c r="D29" i="20"/>
  <c r="E29" i="20"/>
  <c r="C30" i="20"/>
  <c r="D30" i="20"/>
  <c r="E30" i="20"/>
  <c r="C31" i="20"/>
  <c r="D31" i="20"/>
  <c r="E31" i="20"/>
  <c r="C32" i="20"/>
  <c r="D32" i="20"/>
  <c r="E32" i="20"/>
  <c r="C33" i="20"/>
  <c r="D33" i="20"/>
  <c r="E33" i="20"/>
  <c r="C34" i="20"/>
  <c r="D34" i="20"/>
  <c r="E34" i="20"/>
  <c r="C35" i="20"/>
  <c r="D35" i="20"/>
  <c r="E35" i="20"/>
  <c r="C36" i="20"/>
  <c r="D36" i="20"/>
  <c r="E36" i="20"/>
  <c r="C37" i="20"/>
  <c r="D37" i="20"/>
  <c r="E37" i="20"/>
  <c r="C38" i="20"/>
  <c r="D38" i="20"/>
  <c r="E38" i="20"/>
  <c r="C39" i="20"/>
  <c r="D39" i="20"/>
  <c r="E39" i="20"/>
  <c r="C40" i="20"/>
  <c r="D40" i="20"/>
  <c r="E40" i="20"/>
  <c r="C41" i="20"/>
  <c r="D41" i="20"/>
  <c r="E41" i="20"/>
  <c r="C42" i="20"/>
  <c r="D42" i="20"/>
  <c r="E42" i="20"/>
  <c r="C43" i="20"/>
  <c r="D43" i="20"/>
  <c r="E43" i="20"/>
  <c r="C44" i="20"/>
  <c r="D44" i="20"/>
  <c r="E44" i="20"/>
  <c r="C45" i="20"/>
  <c r="D45" i="20"/>
  <c r="E45" i="20"/>
  <c r="E56" i="20"/>
  <c r="D47" i="21"/>
  <c r="D46" i="21"/>
  <c r="D45" i="21"/>
  <c r="D44" i="21"/>
  <c r="D43" i="21"/>
  <c r="D42" i="21"/>
  <c r="D41" i="21"/>
  <c r="D40" i="21"/>
  <c r="D39" i="21"/>
  <c r="D38" i="21"/>
  <c r="D37" i="21"/>
  <c r="D36" i="21"/>
  <c r="D35" i="21"/>
  <c r="D34" i="21"/>
  <c r="D33" i="21"/>
  <c r="D32" i="21"/>
  <c r="D31" i="21"/>
  <c r="D30" i="21"/>
  <c r="D29" i="21"/>
  <c r="D28" i="21"/>
  <c r="D27" i="21"/>
  <c r="D26" i="21"/>
  <c r="D25" i="21"/>
  <c r="D24" i="21"/>
  <c r="D23" i="21"/>
  <c r="D22" i="21"/>
  <c r="D21" i="21"/>
  <c r="D20" i="21"/>
  <c r="D19" i="21"/>
  <c r="D1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8" i="21"/>
  <c r="C7" i="21"/>
  <c r="E18" i="21"/>
  <c r="E19" i="21"/>
  <c r="E20" i="21"/>
  <c r="E21" i="21"/>
  <c r="E22" i="21"/>
  <c r="E23" i="21"/>
  <c r="E24" i="21"/>
  <c r="E25" i="21"/>
  <c r="E26" i="21"/>
  <c r="E27" i="21"/>
  <c r="E28" i="21"/>
  <c r="E29" i="21"/>
  <c r="E30" i="21"/>
  <c r="E31" i="21"/>
  <c r="E32" i="21"/>
  <c r="E33" i="21"/>
  <c r="E34" i="21"/>
  <c r="E35" i="21"/>
  <c r="E36" i="21"/>
  <c r="E37" i="21"/>
  <c r="E38" i="21"/>
  <c r="E39" i="21"/>
  <c r="E40" i="21"/>
  <c r="E41" i="21"/>
  <c r="E42" i="21"/>
  <c r="E43" i="21"/>
  <c r="E44" i="21"/>
  <c r="E45" i="21"/>
  <c r="E46" i="21"/>
  <c r="E47" i="21"/>
  <c r="E14" i="21"/>
  <c r="E13" i="21"/>
  <c r="E12" i="21"/>
  <c r="E11" i="21"/>
  <c r="E10" i="21"/>
  <c r="E9" i="21"/>
  <c r="E8" i="21"/>
  <c r="E7" i="21"/>
  <c r="D56" i="20"/>
  <c r="J64" i="10"/>
  <c r="M184" i="10"/>
  <c r="N184" i="10"/>
  <c r="K64" i="10"/>
  <c r="M185" i="10"/>
  <c r="N185" i="10"/>
  <c r="L64" i="10"/>
  <c r="M186" i="10"/>
  <c r="N186" i="10"/>
  <c r="N217" i="10"/>
  <c r="S217" i="10"/>
  <c r="N172" i="10"/>
  <c r="S172" i="10"/>
  <c r="N127" i="10"/>
  <c r="S127" i="10"/>
  <c r="F48" i="10"/>
  <c r="E48" i="10"/>
  <c r="D48" i="10"/>
  <c r="C48" i="10"/>
  <c r="C47" i="10"/>
  <c r="C46" i="10"/>
  <c r="C45" i="10"/>
  <c r="C44" i="10"/>
  <c r="C43" i="10"/>
  <c r="C42" i="10"/>
  <c r="C41" i="10"/>
  <c r="C40" i="10"/>
  <c r="C39" i="10"/>
  <c r="C38" i="10"/>
  <c r="C37" i="10"/>
  <c r="C36" i="10"/>
  <c r="C35" i="10"/>
  <c r="C34" i="10"/>
  <c r="C33" i="10"/>
  <c r="C32" i="10"/>
  <c r="C31" i="10"/>
  <c r="C30" i="10"/>
  <c r="C29" i="10"/>
  <c r="C28" i="10"/>
  <c r="C27" i="10"/>
  <c r="C26" i="10"/>
  <c r="C25" i="10"/>
  <c r="C24" i="10"/>
  <c r="C23" i="10"/>
  <c r="C22" i="10"/>
  <c r="C21" i="10"/>
  <c r="C20" i="10"/>
  <c r="C19" i="10"/>
  <c r="C18" i="10"/>
  <c r="C14" i="10"/>
  <c r="C13" i="10"/>
  <c r="C12" i="10"/>
  <c r="C11" i="10"/>
  <c r="C10" i="10"/>
  <c r="C9" i="10"/>
  <c r="C8" i="10"/>
  <c r="C7" i="10"/>
  <c r="H261" i="10"/>
  <c r="H260" i="10"/>
  <c r="H259" i="10"/>
  <c r="H258" i="10"/>
  <c r="H257" i="10"/>
  <c r="H256" i="10"/>
  <c r="H255" i="10"/>
  <c r="H254" i="10"/>
  <c r="H253" i="10"/>
  <c r="H252" i="10"/>
  <c r="H251" i="10"/>
  <c r="H250" i="10"/>
  <c r="H249" i="10"/>
  <c r="H248" i="10"/>
  <c r="H247" i="10"/>
  <c r="H246" i="10"/>
  <c r="H245" i="10"/>
  <c r="H244" i="10"/>
  <c r="H243" i="10"/>
  <c r="H242" i="10"/>
  <c r="H241" i="10"/>
  <c r="H240" i="10"/>
  <c r="H239" i="10"/>
  <c r="H238" i="10"/>
  <c r="H237" i="10"/>
  <c r="H236" i="10"/>
  <c r="H235" i="10"/>
  <c r="H234" i="10"/>
  <c r="H233" i="10"/>
  <c r="H232" i="10"/>
  <c r="H228" i="10"/>
  <c r="H227" i="10"/>
  <c r="H226" i="10"/>
  <c r="H225" i="10"/>
  <c r="H224" i="10"/>
  <c r="H223" i="10"/>
  <c r="H222" i="10"/>
  <c r="H221" i="10"/>
  <c r="F221" i="10"/>
  <c r="F222" i="10"/>
  <c r="F223" i="10"/>
  <c r="F224" i="10"/>
  <c r="F225" i="10"/>
  <c r="F226" i="10"/>
  <c r="F227" i="10"/>
  <c r="F228" i="10"/>
  <c r="F232" i="10"/>
  <c r="F233" i="10"/>
  <c r="F234" i="10"/>
  <c r="F235" i="10"/>
  <c r="F236" i="10"/>
  <c r="F237" i="10"/>
  <c r="F238" i="10"/>
  <c r="F239" i="10"/>
  <c r="F240" i="10"/>
  <c r="F241" i="10"/>
  <c r="F242" i="10"/>
  <c r="F243" i="10"/>
  <c r="F244" i="10"/>
  <c r="F245" i="10"/>
  <c r="F246" i="10"/>
  <c r="F247" i="10"/>
  <c r="F248" i="10"/>
  <c r="F249" i="10"/>
  <c r="F250" i="10"/>
  <c r="F251" i="10"/>
  <c r="F252" i="10"/>
  <c r="F253" i="10"/>
  <c r="F254" i="10"/>
  <c r="F255" i="10"/>
  <c r="F256" i="10"/>
  <c r="F257" i="10"/>
  <c r="F258" i="10"/>
  <c r="F259" i="10"/>
  <c r="F260" i="10"/>
  <c r="F261" i="10"/>
  <c r="F262" i="10"/>
  <c r="E262" i="10"/>
  <c r="D66" i="10"/>
  <c r="K176" i="10"/>
  <c r="D73" i="10"/>
  <c r="D72" i="10"/>
  <c r="D74" i="10"/>
  <c r="D77" i="10"/>
  <c r="L176" i="10"/>
  <c r="N176" i="10"/>
  <c r="K177" i="10"/>
  <c r="L177" i="10"/>
  <c r="N177" i="10"/>
  <c r="K178" i="10"/>
  <c r="L178" i="10"/>
  <c r="N178" i="10"/>
  <c r="K179" i="10"/>
  <c r="L179" i="10"/>
  <c r="N179" i="10"/>
  <c r="K180" i="10"/>
  <c r="L180" i="10"/>
  <c r="N180" i="10"/>
  <c r="K181" i="10"/>
  <c r="L181" i="10"/>
  <c r="N181" i="10"/>
  <c r="K182" i="10"/>
  <c r="L182" i="10"/>
  <c r="N182" i="10"/>
  <c r="K183" i="10"/>
  <c r="L183" i="10"/>
  <c r="N183" i="10"/>
  <c r="K184" i="10"/>
  <c r="L184" i="10"/>
  <c r="I64" i="10"/>
  <c r="K185" i="10"/>
  <c r="L185" i="10"/>
  <c r="K186" i="10"/>
  <c r="L186" i="10"/>
  <c r="K187" i="10"/>
  <c r="L187" i="10"/>
  <c r="N187" i="10"/>
  <c r="K188" i="10"/>
  <c r="L188" i="10"/>
  <c r="N188" i="10"/>
  <c r="K189" i="10"/>
  <c r="L189" i="10"/>
  <c r="N189" i="10"/>
  <c r="K190" i="10"/>
  <c r="L190" i="10"/>
  <c r="N190" i="10"/>
  <c r="K191" i="10"/>
  <c r="L191" i="10"/>
  <c r="N191" i="10"/>
  <c r="K192" i="10"/>
  <c r="L192" i="10"/>
  <c r="N192" i="10"/>
  <c r="K193" i="10"/>
  <c r="L193" i="10"/>
  <c r="N193" i="10"/>
  <c r="K194" i="10"/>
  <c r="L194" i="10"/>
  <c r="N194" i="10"/>
  <c r="K195" i="10"/>
  <c r="L195" i="10"/>
  <c r="N195" i="10"/>
  <c r="K196" i="10"/>
  <c r="L196" i="10"/>
  <c r="N196" i="10"/>
  <c r="K197" i="10"/>
  <c r="L197" i="10"/>
  <c r="N197" i="10"/>
  <c r="K198" i="10"/>
  <c r="L198" i="10"/>
  <c r="N198" i="10"/>
  <c r="K199" i="10"/>
  <c r="L199" i="10"/>
  <c r="N199" i="10"/>
  <c r="K200" i="10"/>
  <c r="L200" i="10"/>
  <c r="N200" i="10"/>
  <c r="K201" i="10"/>
  <c r="L201" i="10"/>
  <c r="N201" i="10"/>
  <c r="K202" i="10"/>
  <c r="L202" i="10"/>
  <c r="N202" i="10"/>
  <c r="K203" i="10"/>
  <c r="L203" i="10"/>
  <c r="N203" i="10"/>
  <c r="K204" i="10"/>
  <c r="L204" i="10"/>
  <c r="N204" i="10"/>
  <c r="K205" i="10"/>
  <c r="L205" i="10"/>
  <c r="N205" i="10"/>
  <c r="K206" i="10"/>
  <c r="L206" i="10"/>
  <c r="N206" i="10"/>
  <c r="K207" i="10"/>
  <c r="L207" i="10"/>
  <c r="N207" i="10"/>
  <c r="K208" i="10"/>
  <c r="L208" i="10"/>
  <c r="N208" i="10"/>
  <c r="K209" i="10"/>
  <c r="L209" i="10"/>
  <c r="N209" i="10"/>
  <c r="K210" i="10"/>
  <c r="L210" i="10"/>
  <c r="N210" i="10"/>
  <c r="K211" i="10"/>
  <c r="L211" i="10"/>
  <c r="N211" i="10"/>
  <c r="K212" i="10"/>
  <c r="L212" i="10"/>
  <c r="N212" i="10"/>
  <c r="K213" i="10"/>
  <c r="L213" i="10"/>
  <c r="N213" i="10"/>
  <c r="K214" i="10"/>
  <c r="L214" i="10"/>
  <c r="N214" i="10"/>
  <c r="K215" i="10"/>
  <c r="L215" i="10"/>
  <c r="N215" i="10"/>
  <c r="K216" i="10"/>
  <c r="L216" i="10"/>
  <c r="N216" i="10"/>
  <c r="M217" i="10"/>
  <c r="I66" i="10"/>
  <c r="B81" i="10"/>
  <c r="I68" i="10"/>
  <c r="O216" i="10"/>
  <c r="P216" i="10"/>
  <c r="O215" i="10"/>
  <c r="P215" i="10"/>
  <c r="O214" i="10"/>
  <c r="P214" i="10"/>
  <c r="O213" i="10"/>
  <c r="P213" i="10"/>
  <c r="O212" i="10"/>
  <c r="P212" i="10"/>
  <c r="O211" i="10"/>
  <c r="P211" i="10"/>
  <c r="O210" i="10"/>
  <c r="P210" i="10"/>
  <c r="O209" i="10"/>
  <c r="P209" i="10"/>
  <c r="O208" i="10"/>
  <c r="P208" i="10"/>
  <c r="O207" i="10"/>
  <c r="P207" i="10"/>
  <c r="O206" i="10"/>
  <c r="P206" i="10"/>
  <c r="O205" i="10"/>
  <c r="P205" i="10"/>
  <c r="O204" i="10"/>
  <c r="P204" i="10"/>
  <c r="O203" i="10"/>
  <c r="P203" i="10"/>
  <c r="O202" i="10"/>
  <c r="P202" i="10"/>
  <c r="O201" i="10"/>
  <c r="P201" i="10"/>
  <c r="O200" i="10"/>
  <c r="P200" i="10"/>
  <c r="O199" i="10"/>
  <c r="P199" i="10"/>
  <c r="O198" i="10"/>
  <c r="P198" i="10"/>
  <c r="O197" i="10"/>
  <c r="P197" i="10"/>
  <c r="O196" i="10"/>
  <c r="P196" i="10"/>
  <c r="O195" i="10"/>
  <c r="P195" i="10"/>
  <c r="O194" i="10"/>
  <c r="P194" i="10"/>
  <c r="O193" i="10"/>
  <c r="P193" i="10"/>
  <c r="O192" i="10"/>
  <c r="P192" i="10"/>
  <c r="O191" i="10"/>
  <c r="P191" i="10"/>
  <c r="O190" i="10"/>
  <c r="P190" i="10"/>
  <c r="O189" i="10"/>
  <c r="P189" i="10"/>
  <c r="O188" i="10"/>
  <c r="P188" i="10"/>
  <c r="O187" i="10"/>
  <c r="P187" i="10"/>
  <c r="O186" i="10"/>
  <c r="P186" i="10"/>
  <c r="O185" i="10"/>
  <c r="P185" i="10"/>
  <c r="O184" i="10"/>
  <c r="P184" i="10"/>
  <c r="O183" i="10"/>
  <c r="P183" i="10"/>
  <c r="O182" i="10"/>
  <c r="P182" i="10"/>
  <c r="O181" i="10"/>
  <c r="P181" i="10"/>
  <c r="O180" i="10"/>
  <c r="P180" i="10"/>
  <c r="O179" i="10"/>
  <c r="P179" i="10"/>
  <c r="O178" i="10"/>
  <c r="P178" i="10"/>
  <c r="O177" i="10"/>
  <c r="P177" i="10"/>
  <c r="O176" i="10"/>
  <c r="P176" i="10"/>
  <c r="K86" i="10"/>
  <c r="D81" i="10"/>
  <c r="L86" i="10"/>
  <c r="N86" i="10"/>
  <c r="K87" i="10"/>
  <c r="L87" i="10"/>
  <c r="N87" i="10"/>
  <c r="K88" i="10"/>
  <c r="L88" i="10"/>
  <c r="N88" i="10"/>
  <c r="K89" i="10"/>
  <c r="L89" i="10"/>
  <c r="N89" i="10"/>
  <c r="K90" i="10"/>
  <c r="L90" i="10"/>
  <c r="N90" i="10"/>
  <c r="K91" i="10"/>
  <c r="L91" i="10"/>
  <c r="N91" i="10"/>
  <c r="K92" i="10"/>
  <c r="L92" i="10"/>
  <c r="N92" i="10"/>
  <c r="K93" i="10"/>
  <c r="L93" i="10"/>
  <c r="N93" i="10"/>
  <c r="K94" i="10"/>
  <c r="L94" i="10"/>
  <c r="K95" i="10"/>
  <c r="L95" i="10"/>
  <c r="K96" i="10"/>
  <c r="L96" i="10"/>
  <c r="K97" i="10"/>
  <c r="L97" i="10"/>
  <c r="N97" i="10"/>
  <c r="K98" i="10"/>
  <c r="L98" i="10"/>
  <c r="N98" i="10"/>
  <c r="K99" i="10"/>
  <c r="L99" i="10"/>
  <c r="N99" i="10"/>
  <c r="K100" i="10"/>
  <c r="L100" i="10"/>
  <c r="N100" i="10"/>
  <c r="K101" i="10"/>
  <c r="L101" i="10"/>
  <c r="N101" i="10"/>
  <c r="K102" i="10"/>
  <c r="L102" i="10"/>
  <c r="N102" i="10"/>
  <c r="K103" i="10"/>
  <c r="L103" i="10"/>
  <c r="N103" i="10"/>
  <c r="K104" i="10"/>
  <c r="L104" i="10"/>
  <c r="N104" i="10"/>
  <c r="K105" i="10"/>
  <c r="L105" i="10"/>
  <c r="N105" i="10"/>
  <c r="K106" i="10"/>
  <c r="L106" i="10"/>
  <c r="N106" i="10"/>
  <c r="K107" i="10"/>
  <c r="L107" i="10"/>
  <c r="N107" i="10"/>
  <c r="K108" i="10"/>
  <c r="L108" i="10"/>
  <c r="N108" i="10"/>
  <c r="K109" i="10"/>
  <c r="L109" i="10"/>
  <c r="N109" i="10"/>
  <c r="K110" i="10"/>
  <c r="L110" i="10"/>
  <c r="N110" i="10"/>
  <c r="K111" i="10"/>
  <c r="L111" i="10"/>
  <c r="N111" i="10"/>
  <c r="K112" i="10"/>
  <c r="L112" i="10"/>
  <c r="N112" i="10"/>
  <c r="K113" i="10"/>
  <c r="L113" i="10"/>
  <c r="N113" i="10"/>
  <c r="K114" i="10"/>
  <c r="L114" i="10"/>
  <c r="N114" i="10"/>
  <c r="K115" i="10"/>
  <c r="L115" i="10"/>
  <c r="N115" i="10"/>
  <c r="K116" i="10"/>
  <c r="L116" i="10"/>
  <c r="N116" i="10"/>
  <c r="K117" i="10"/>
  <c r="L117" i="10"/>
  <c r="N117" i="10"/>
  <c r="K118" i="10"/>
  <c r="L118" i="10"/>
  <c r="N118" i="10"/>
  <c r="K119" i="10"/>
  <c r="L119" i="10"/>
  <c r="N119" i="10"/>
  <c r="K120" i="10"/>
  <c r="L120" i="10"/>
  <c r="N120" i="10"/>
  <c r="K121" i="10"/>
  <c r="L121" i="10"/>
  <c r="N121" i="10"/>
  <c r="K122" i="10"/>
  <c r="L122" i="10"/>
  <c r="N122" i="10"/>
  <c r="K123" i="10"/>
  <c r="L123" i="10"/>
  <c r="N123" i="10"/>
  <c r="K124" i="10"/>
  <c r="L124" i="10"/>
  <c r="N124" i="10"/>
  <c r="K125" i="10"/>
  <c r="L125" i="10"/>
  <c r="N125" i="10"/>
  <c r="K126" i="10"/>
  <c r="L126" i="10"/>
  <c r="N126" i="10"/>
  <c r="K131" i="10"/>
  <c r="D79" i="10"/>
  <c r="L131" i="10"/>
  <c r="N131" i="10"/>
  <c r="K132" i="10"/>
  <c r="L132" i="10"/>
  <c r="N132" i="10"/>
  <c r="K133" i="10"/>
  <c r="L133" i="10"/>
  <c r="N133" i="10"/>
  <c r="K134" i="10"/>
  <c r="L134" i="10"/>
  <c r="N134" i="10"/>
  <c r="K135" i="10"/>
  <c r="L135" i="10"/>
  <c r="N135" i="10"/>
  <c r="K136" i="10"/>
  <c r="L136" i="10"/>
  <c r="N136" i="10"/>
  <c r="K137" i="10"/>
  <c r="L137" i="10"/>
  <c r="N137" i="10"/>
  <c r="K138" i="10"/>
  <c r="L138" i="10"/>
  <c r="N138" i="10"/>
  <c r="K139" i="10"/>
  <c r="L139" i="10"/>
  <c r="I65" i="10"/>
  <c r="J65" i="10"/>
  <c r="K140" i="10"/>
  <c r="L140" i="10"/>
  <c r="K65" i="10"/>
  <c r="K141" i="10"/>
  <c r="L141" i="10"/>
  <c r="L65" i="10"/>
  <c r="K142" i="10"/>
  <c r="L142" i="10"/>
  <c r="N142" i="10"/>
  <c r="K143" i="10"/>
  <c r="L143" i="10"/>
  <c r="N143" i="10"/>
  <c r="K144" i="10"/>
  <c r="L144" i="10"/>
  <c r="N144" i="10"/>
  <c r="K145" i="10"/>
  <c r="L145" i="10"/>
  <c r="N145" i="10"/>
  <c r="K146" i="10"/>
  <c r="L146" i="10"/>
  <c r="N146" i="10"/>
  <c r="K147" i="10"/>
  <c r="L147" i="10"/>
  <c r="N147" i="10"/>
  <c r="K148" i="10"/>
  <c r="L148" i="10"/>
  <c r="N148" i="10"/>
  <c r="K149" i="10"/>
  <c r="L149" i="10"/>
  <c r="N149" i="10"/>
  <c r="K150" i="10"/>
  <c r="L150" i="10"/>
  <c r="N150" i="10"/>
  <c r="K151" i="10"/>
  <c r="L151" i="10"/>
  <c r="N151" i="10"/>
  <c r="K152" i="10"/>
  <c r="L152" i="10"/>
  <c r="N152" i="10"/>
  <c r="K153" i="10"/>
  <c r="L153" i="10"/>
  <c r="N153" i="10"/>
  <c r="K154" i="10"/>
  <c r="L154" i="10"/>
  <c r="N154" i="10"/>
  <c r="K155" i="10"/>
  <c r="L155" i="10"/>
  <c r="N155" i="10"/>
  <c r="K156" i="10"/>
  <c r="L156" i="10"/>
  <c r="N156" i="10"/>
  <c r="K157" i="10"/>
  <c r="L157" i="10"/>
  <c r="N157" i="10"/>
  <c r="K158" i="10"/>
  <c r="L158" i="10"/>
  <c r="N158" i="10"/>
  <c r="K159" i="10"/>
  <c r="L159" i="10"/>
  <c r="N159" i="10"/>
  <c r="K160" i="10"/>
  <c r="L160" i="10"/>
  <c r="N160" i="10"/>
  <c r="K161" i="10"/>
  <c r="L161" i="10"/>
  <c r="N161" i="10"/>
  <c r="K162" i="10"/>
  <c r="L162" i="10"/>
  <c r="N162" i="10"/>
  <c r="K163" i="10"/>
  <c r="L163" i="10"/>
  <c r="N163" i="10"/>
  <c r="K164" i="10"/>
  <c r="L164" i="10"/>
  <c r="N164" i="10"/>
  <c r="K165" i="10"/>
  <c r="L165" i="10"/>
  <c r="N165" i="10"/>
  <c r="K166" i="10"/>
  <c r="L166" i="10"/>
  <c r="N166" i="10"/>
  <c r="K167" i="10"/>
  <c r="L167" i="10"/>
  <c r="N167" i="10"/>
  <c r="K168" i="10"/>
  <c r="L168" i="10"/>
  <c r="N168" i="10"/>
  <c r="K169" i="10"/>
  <c r="L169" i="10"/>
  <c r="N169" i="10"/>
  <c r="K170" i="10"/>
  <c r="L170" i="10"/>
  <c r="N170" i="10"/>
  <c r="K171" i="10"/>
  <c r="L171" i="10"/>
  <c r="N171" i="10"/>
  <c r="M172" i="10"/>
  <c r="O171" i="10"/>
  <c r="P171" i="10"/>
  <c r="O170" i="10"/>
  <c r="P170" i="10"/>
  <c r="O169" i="10"/>
  <c r="P169" i="10"/>
  <c r="O168" i="10"/>
  <c r="P168" i="10"/>
  <c r="O167" i="10"/>
  <c r="P167" i="10"/>
  <c r="O166" i="10"/>
  <c r="P166" i="10"/>
  <c r="O165" i="10"/>
  <c r="P165" i="10"/>
  <c r="O164" i="10"/>
  <c r="P164" i="10"/>
  <c r="O163" i="10"/>
  <c r="P163" i="10"/>
  <c r="O162" i="10"/>
  <c r="P162" i="10"/>
  <c r="O161" i="10"/>
  <c r="P161" i="10"/>
  <c r="O160" i="10"/>
  <c r="P160" i="10"/>
  <c r="O159" i="10"/>
  <c r="P159" i="10"/>
  <c r="O158" i="10"/>
  <c r="P158" i="10"/>
  <c r="O157" i="10"/>
  <c r="P157" i="10"/>
  <c r="O156" i="10"/>
  <c r="P156" i="10"/>
  <c r="O155" i="10"/>
  <c r="P155" i="10"/>
  <c r="O154" i="10"/>
  <c r="P154" i="10"/>
  <c r="O153" i="10"/>
  <c r="P153" i="10"/>
  <c r="O152" i="10"/>
  <c r="P152" i="10"/>
  <c r="O151" i="10"/>
  <c r="P151" i="10"/>
  <c r="O150" i="10"/>
  <c r="P150" i="10"/>
  <c r="O149" i="10"/>
  <c r="P149" i="10"/>
  <c r="O148" i="10"/>
  <c r="P148" i="10"/>
  <c r="O147" i="10"/>
  <c r="P147" i="10"/>
  <c r="O146" i="10"/>
  <c r="P146" i="10"/>
  <c r="O145" i="10"/>
  <c r="P145" i="10"/>
  <c r="O144" i="10"/>
  <c r="P144" i="10"/>
  <c r="O143" i="10"/>
  <c r="P143" i="10"/>
  <c r="O142" i="10"/>
  <c r="P142" i="10"/>
  <c r="O141" i="10"/>
  <c r="O140" i="10"/>
  <c r="O139" i="10"/>
  <c r="O138" i="10"/>
  <c r="P138" i="10"/>
  <c r="O137" i="10"/>
  <c r="P137" i="10"/>
  <c r="O136" i="10"/>
  <c r="P136" i="10"/>
  <c r="O135" i="10"/>
  <c r="P135" i="10"/>
  <c r="O134" i="10"/>
  <c r="P134" i="10"/>
  <c r="O133" i="10"/>
  <c r="P133" i="10"/>
  <c r="O132" i="10"/>
  <c r="P132" i="10"/>
  <c r="O131" i="10"/>
  <c r="P131" i="10"/>
  <c r="O126" i="10"/>
  <c r="P126" i="10"/>
  <c r="O125" i="10"/>
  <c r="P125" i="10"/>
  <c r="O124" i="10"/>
  <c r="P124" i="10"/>
  <c r="O123" i="10"/>
  <c r="P123" i="10"/>
  <c r="O122" i="10"/>
  <c r="P122" i="10"/>
  <c r="O121" i="10"/>
  <c r="P121" i="10"/>
  <c r="O120" i="10"/>
  <c r="P120" i="10"/>
  <c r="O119" i="10"/>
  <c r="P119" i="10"/>
  <c r="O118" i="10"/>
  <c r="P118" i="10"/>
  <c r="O117" i="10"/>
  <c r="P117" i="10"/>
  <c r="O116" i="10"/>
  <c r="P116" i="10"/>
  <c r="O115" i="10"/>
  <c r="P115" i="10"/>
  <c r="O114" i="10"/>
  <c r="P114" i="10"/>
  <c r="O113" i="10"/>
  <c r="P113" i="10"/>
  <c r="O112" i="10"/>
  <c r="P112" i="10"/>
  <c r="O111" i="10"/>
  <c r="P111" i="10"/>
  <c r="O110" i="10"/>
  <c r="P110" i="10"/>
  <c r="O109" i="10"/>
  <c r="P109" i="10"/>
  <c r="O108" i="10"/>
  <c r="P108" i="10"/>
  <c r="O107" i="10"/>
  <c r="P107" i="10"/>
  <c r="O106" i="10"/>
  <c r="P106" i="10"/>
  <c r="O105" i="10"/>
  <c r="P105" i="10"/>
  <c r="O104" i="10"/>
  <c r="P104" i="10"/>
  <c r="O103" i="10"/>
  <c r="P103" i="10"/>
  <c r="O102" i="10"/>
  <c r="P102" i="10"/>
  <c r="O101" i="10"/>
  <c r="P101" i="10"/>
  <c r="O100" i="10"/>
  <c r="P100" i="10"/>
  <c r="O99" i="10"/>
  <c r="P99" i="10"/>
  <c r="O98" i="10"/>
  <c r="P98" i="10"/>
  <c r="O97" i="10"/>
  <c r="P97" i="10"/>
  <c r="O96" i="10"/>
  <c r="O95" i="10"/>
  <c r="O94" i="10"/>
  <c r="O93" i="10"/>
  <c r="P93" i="10"/>
  <c r="O92" i="10"/>
  <c r="P92" i="10"/>
  <c r="O91" i="10"/>
  <c r="P91" i="10"/>
  <c r="O90" i="10"/>
  <c r="P90" i="10"/>
  <c r="O89" i="10"/>
  <c r="P89" i="10"/>
  <c r="O88" i="10"/>
  <c r="P88" i="10"/>
  <c r="O87" i="10"/>
  <c r="P87" i="10"/>
  <c r="O86" i="10"/>
  <c r="P86" i="10"/>
  <c r="M127" i="10"/>
  <c r="I67" i="10"/>
  <c r="D65" i="10"/>
  <c r="C126" i="10"/>
  <c r="D126" i="10"/>
  <c r="E126" i="10"/>
  <c r="F126" i="10"/>
  <c r="C171" i="10"/>
  <c r="D171" i="10"/>
  <c r="E171" i="10"/>
  <c r="F171" i="10"/>
  <c r="D47" i="10"/>
  <c r="G171" i="10"/>
  <c r="Q171" i="10"/>
  <c r="E47" i="10"/>
  <c r="C261" i="10"/>
  <c r="D80" i="10"/>
  <c r="D261" i="10"/>
  <c r="G261" i="10"/>
  <c r="F47" i="10"/>
  <c r="G47" i="10"/>
  <c r="H47" i="10"/>
  <c r="C125" i="10"/>
  <c r="D125" i="10"/>
  <c r="E125" i="10"/>
  <c r="F125" i="10"/>
  <c r="C170" i="10"/>
  <c r="D170" i="10"/>
  <c r="E170" i="10"/>
  <c r="F170" i="10"/>
  <c r="D46" i="10"/>
  <c r="G170" i="10"/>
  <c r="Q170" i="10"/>
  <c r="E46" i="10"/>
  <c r="C260" i="10"/>
  <c r="D260" i="10"/>
  <c r="G260" i="10"/>
  <c r="F46" i="10"/>
  <c r="G46" i="10"/>
  <c r="H46" i="10"/>
  <c r="C124" i="10"/>
  <c r="D124" i="10"/>
  <c r="E124" i="10"/>
  <c r="F124" i="10"/>
  <c r="C169" i="10"/>
  <c r="D169" i="10"/>
  <c r="E169" i="10"/>
  <c r="F169" i="10"/>
  <c r="D45" i="10"/>
  <c r="G169" i="10"/>
  <c r="Q169" i="10"/>
  <c r="E45" i="10"/>
  <c r="C259" i="10"/>
  <c r="D259" i="10"/>
  <c r="G259" i="10"/>
  <c r="F45" i="10"/>
  <c r="G45" i="10"/>
  <c r="H45" i="10"/>
  <c r="C123" i="10"/>
  <c r="D123" i="10"/>
  <c r="E123" i="10"/>
  <c r="F123" i="10"/>
  <c r="C168" i="10"/>
  <c r="D168" i="10"/>
  <c r="E168" i="10"/>
  <c r="F168" i="10"/>
  <c r="D44" i="10"/>
  <c r="G168" i="10"/>
  <c r="Q168" i="10"/>
  <c r="E44" i="10"/>
  <c r="C258" i="10"/>
  <c r="D258" i="10"/>
  <c r="G258" i="10"/>
  <c r="F44" i="10"/>
  <c r="G44" i="10"/>
  <c r="H44" i="10"/>
  <c r="C122" i="10"/>
  <c r="D122" i="10"/>
  <c r="E122" i="10"/>
  <c r="F122" i="10"/>
  <c r="C167" i="10"/>
  <c r="D167" i="10"/>
  <c r="E167" i="10"/>
  <c r="F167" i="10"/>
  <c r="D43" i="10"/>
  <c r="G167" i="10"/>
  <c r="Q167" i="10"/>
  <c r="E43" i="10"/>
  <c r="C257" i="10"/>
  <c r="D257" i="10"/>
  <c r="G257" i="10"/>
  <c r="F43" i="10"/>
  <c r="G43" i="10"/>
  <c r="H43" i="10"/>
  <c r="C121" i="10"/>
  <c r="D121" i="10"/>
  <c r="E121" i="10"/>
  <c r="F121" i="10"/>
  <c r="C166" i="10"/>
  <c r="D166" i="10"/>
  <c r="E166" i="10"/>
  <c r="F166" i="10"/>
  <c r="D42" i="10"/>
  <c r="G166" i="10"/>
  <c r="Q166" i="10"/>
  <c r="E42" i="10"/>
  <c r="C256" i="10"/>
  <c r="D256" i="10"/>
  <c r="G256" i="10"/>
  <c r="F42" i="10"/>
  <c r="G42" i="10"/>
  <c r="H42" i="10"/>
  <c r="C120" i="10"/>
  <c r="D120" i="10"/>
  <c r="E120" i="10"/>
  <c r="F120" i="10"/>
  <c r="C165" i="10"/>
  <c r="D165" i="10"/>
  <c r="E165" i="10"/>
  <c r="F165" i="10"/>
  <c r="D41" i="10"/>
  <c r="G165" i="10"/>
  <c r="Q165" i="10"/>
  <c r="E41" i="10"/>
  <c r="C255" i="10"/>
  <c r="D255" i="10"/>
  <c r="G255" i="10"/>
  <c r="F41" i="10"/>
  <c r="G41" i="10"/>
  <c r="H41" i="10"/>
  <c r="C119" i="10"/>
  <c r="D119" i="10"/>
  <c r="E119" i="10"/>
  <c r="F119" i="10"/>
  <c r="C164" i="10"/>
  <c r="D164" i="10"/>
  <c r="E164" i="10"/>
  <c r="F164" i="10"/>
  <c r="D40" i="10"/>
  <c r="G164" i="10"/>
  <c r="Q164" i="10"/>
  <c r="E40" i="10"/>
  <c r="C254" i="10"/>
  <c r="D254" i="10"/>
  <c r="G254" i="10"/>
  <c r="F40" i="10"/>
  <c r="G40" i="10"/>
  <c r="H40" i="10"/>
  <c r="C118" i="10"/>
  <c r="D118" i="10"/>
  <c r="E118" i="10"/>
  <c r="F118" i="10"/>
  <c r="C163" i="10"/>
  <c r="D163" i="10"/>
  <c r="E163" i="10"/>
  <c r="F163" i="10"/>
  <c r="D39" i="10"/>
  <c r="G163" i="10"/>
  <c r="Q163" i="10"/>
  <c r="E39" i="10"/>
  <c r="C253" i="10"/>
  <c r="D253" i="10"/>
  <c r="G253" i="10"/>
  <c r="F39" i="10"/>
  <c r="G39" i="10"/>
  <c r="H39" i="10"/>
  <c r="C117" i="10"/>
  <c r="D117" i="10"/>
  <c r="E117" i="10"/>
  <c r="F117" i="10"/>
  <c r="C162" i="10"/>
  <c r="D162" i="10"/>
  <c r="E162" i="10"/>
  <c r="F162" i="10"/>
  <c r="D38" i="10"/>
  <c r="G162" i="10"/>
  <c r="Q162" i="10"/>
  <c r="E38" i="10"/>
  <c r="C252" i="10"/>
  <c r="D252" i="10"/>
  <c r="G252" i="10"/>
  <c r="F38" i="10"/>
  <c r="G38" i="10"/>
  <c r="H38" i="10"/>
  <c r="C116" i="10"/>
  <c r="D116" i="10"/>
  <c r="E116" i="10"/>
  <c r="F116" i="10"/>
  <c r="C161" i="10"/>
  <c r="D161" i="10"/>
  <c r="E161" i="10"/>
  <c r="F161" i="10"/>
  <c r="D37" i="10"/>
  <c r="G161" i="10"/>
  <c r="Q161" i="10"/>
  <c r="E37" i="10"/>
  <c r="C251" i="10"/>
  <c r="D251" i="10"/>
  <c r="G251" i="10"/>
  <c r="F37" i="10"/>
  <c r="G37" i="10"/>
  <c r="H37" i="10"/>
  <c r="C115" i="10"/>
  <c r="D115" i="10"/>
  <c r="E115" i="10"/>
  <c r="F115" i="10"/>
  <c r="C160" i="10"/>
  <c r="D160" i="10"/>
  <c r="E160" i="10"/>
  <c r="F160" i="10"/>
  <c r="D36" i="10"/>
  <c r="G160" i="10"/>
  <c r="Q160" i="10"/>
  <c r="E36" i="10"/>
  <c r="C250" i="10"/>
  <c r="D250" i="10"/>
  <c r="G250" i="10"/>
  <c r="F36" i="10"/>
  <c r="G36" i="10"/>
  <c r="H36" i="10"/>
  <c r="C114" i="10"/>
  <c r="D114" i="10"/>
  <c r="E114" i="10"/>
  <c r="F114" i="10"/>
  <c r="C159" i="10"/>
  <c r="D159" i="10"/>
  <c r="E159" i="10"/>
  <c r="F159" i="10"/>
  <c r="D35" i="10"/>
  <c r="G159" i="10"/>
  <c r="Q159" i="10"/>
  <c r="E35" i="10"/>
  <c r="C249" i="10"/>
  <c r="D249" i="10"/>
  <c r="G249" i="10"/>
  <c r="F35" i="10"/>
  <c r="G35" i="10"/>
  <c r="H35" i="10"/>
  <c r="C113" i="10"/>
  <c r="D113" i="10"/>
  <c r="E113" i="10"/>
  <c r="F113" i="10"/>
  <c r="C158" i="10"/>
  <c r="D158" i="10"/>
  <c r="E158" i="10"/>
  <c r="F158" i="10"/>
  <c r="D34" i="10"/>
  <c r="G158" i="10"/>
  <c r="Q158" i="10"/>
  <c r="E34" i="10"/>
  <c r="C248" i="10"/>
  <c r="D248" i="10"/>
  <c r="G248" i="10"/>
  <c r="F34" i="10"/>
  <c r="G34" i="10"/>
  <c r="H34" i="10"/>
  <c r="C112" i="10"/>
  <c r="D112" i="10"/>
  <c r="E112" i="10"/>
  <c r="F112" i="10"/>
  <c r="C157" i="10"/>
  <c r="D157" i="10"/>
  <c r="E157" i="10"/>
  <c r="F157" i="10"/>
  <c r="D33" i="10"/>
  <c r="G157" i="10"/>
  <c r="Q157" i="10"/>
  <c r="E33" i="10"/>
  <c r="C247" i="10"/>
  <c r="D247" i="10"/>
  <c r="G247" i="10"/>
  <c r="F33" i="10"/>
  <c r="G33" i="10"/>
  <c r="H33" i="10"/>
  <c r="C111" i="10"/>
  <c r="D111" i="10"/>
  <c r="E111" i="10"/>
  <c r="F111" i="10"/>
  <c r="C156" i="10"/>
  <c r="D156" i="10"/>
  <c r="E156" i="10"/>
  <c r="F156" i="10"/>
  <c r="D32" i="10"/>
  <c r="G156" i="10"/>
  <c r="Q156" i="10"/>
  <c r="E32" i="10"/>
  <c r="C246" i="10"/>
  <c r="D246" i="10"/>
  <c r="G246" i="10"/>
  <c r="F32" i="10"/>
  <c r="G32" i="10"/>
  <c r="H32" i="10"/>
  <c r="C110" i="10"/>
  <c r="D110" i="10"/>
  <c r="E110" i="10"/>
  <c r="F110" i="10"/>
  <c r="C155" i="10"/>
  <c r="D155" i="10"/>
  <c r="E155" i="10"/>
  <c r="F155" i="10"/>
  <c r="D31" i="10"/>
  <c r="G155" i="10"/>
  <c r="Q155" i="10"/>
  <c r="E31" i="10"/>
  <c r="C245" i="10"/>
  <c r="D245" i="10"/>
  <c r="G245" i="10"/>
  <c r="F31" i="10"/>
  <c r="G31" i="10"/>
  <c r="H31" i="10"/>
  <c r="C109" i="10"/>
  <c r="D109" i="10"/>
  <c r="E109" i="10"/>
  <c r="F109" i="10"/>
  <c r="C154" i="10"/>
  <c r="D154" i="10"/>
  <c r="E154" i="10"/>
  <c r="F154" i="10"/>
  <c r="D30" i="10"/>
  <c r="G154" i="10"/>
  <c r="Q154" i="10"/>
  <c r="E30" i="10"/>
  <c r="C244" i="10"/>
  <c r="D244" i="10"/>
  <c r="G244" i="10"/>
  <c r="F30" i="10"/>
  <c r="G30" i="10"/>
  <c r="H30" i="10"/>
  <c r="C108" i="10"/>
  <c r="D108" i="10"/>
  <c r="E108" i="10"/>
  <c r="F108" i="10"/>
  <c r="C153" i="10"/>
  <c r="D153" i="10"/>
  <c r="E153" i="10"/>
  <c r="F153" i="10"/>
  <c r="D29" i="10"/>
  <c r="G153" i="10"/>
  <c r="Q153" i="10"/>
  <c r="E29" i="10"/>
  <c r="C243" i="10"/>
  <c r="D243" i="10"/>
  <c r="G243" i="10"/>
  <c r="F29" i="10"/>
  <c r="G29" i="10"/>
  <c r="H29" i="10"/>
  <c r="C107" i="10"/>
  <c r="D107" i="10"/>
  <c r="E107" i="10"/>
  <c r="F107" i="10"/>
  <c r="C152" i="10"/>
  <c r="D152" i="10"/>
  <c r="E152" i="10"/>
  <c r="F152" i="10"/>
  <c r="D28" i="10"/>
  <c r="G152" i="10"/>
  <c r="Q152" i="10"/>
  <c r="E28" i="10"/>
  <c r="C242" i="10"/>
  <c r="D242" i="10"/>
  <c r="G242" i="10"/>
  <c r="F28" i="10"/>
  <c r="G28" i="10"/>
  <c r="H28" i="10"/>
  <c r="C106" i="10"/>
  <c r="D106" i="10"/>
  <c r="E106" i="10"/>
  <c r="F106" i="10"/>
  <c r="C151" i="10"/>
  <c r="D151" i="10"/>
  <c r="E151" i="10"/>
  <c r="F151" i="10"/>
  <c r="D27" i="10"/>
  <c r="G151" i="10"/>
  <c r="Q151" i="10"/>
  <c r="E27" i="10"/>
  <c r="C241" i="10"/>
  <c r="D241" i="10"/>
  <c r="G241" i="10"/>
  <c r="F27" i="10"/>
  <c r="G27" i="10"/>
  <c r="H27" i="10"/>
  <c r="C105" i="10"/>
  <c r="D105" i="10"/>
  <c r="E105" i="10"/>
  <c r="F105" i="10"/>
  <c r="C150" i="10"/>
  <c r="D150" i="10"/>
  <c r="E150" i="10"/>
  <c r="F150" i="10"/>
  <c r="D26" i="10"/>
  <c r="G150" i="10"/>
  <c r="Q150" i="10"/>
  <c r="E26" i="10"/>
  <c r="C240" i="10"/>
  <c r="D240" i="10"/>
  <c r="G240" i="10"/>
  <c r="F26" i="10"/>
  <c r="G26" i="10"/>
  <c r="H26" i="10"/>
  <c r="C104" i="10"/>
  <c r="D104" i="10"/>
  <c r="E104" i="10"/>
  <c r="F104" i="10"/>
  <c r="C149" i="10"/>
  <c r="D149" i="10"/>
  <c r="E149" i="10"/>
  <c r="F149" i="10"/>
  <c r="D25" i="10"/>
  <c r="G149" i="10"/>
  <c r="Q149" i="10"/>
  <c r="E25" i="10"/>
  <c r="C239" i="10"/>
  <c r="D239" i="10"/>
  <c r="G239" i="10"/>
  <c r="F25" i="10"/>
  <c r="G25" i="10"/>
  <c r="H25" i="10"/>
  <c r="C103" i="10"/>
  <c r="D103" i="10"/>
  <c r="E103" i="10"/>
  <c r="F103" i="10"/>
  <c r="C148" i="10"/>
  <c r="D148" i="10"/>
  <c r="E148" i="10"/>
  <c r="F148" i="10"/>
  <c r="D24" i="10"/>
  <c r="G148" i="10"/>
  <c r="Q148" i="10"/>
  <c r="E24" i="10"/>
  <c r="C238" i="10"/>
  <c r="D238" i="10"/>
  <c r="G238" i="10"/>
  <c r="F24" i="10"/>
  <c r="G24" i="10"/>
  <c r="H24" i="10"/>
  <c r="C102" i="10"/>
  <c r="D102" i="10"/>
  <c r="E102" i="10"/>
  <c r="F102" i="10"/>
  <c r="C147" i="10"/>
  <c r="D147" i="10"/>
  <c r="E147" i="10"/>
  <c r="F147" i="10"/>
  <c r="D23" i="10"/>
  <c r="G147" i="10"/>
  <c r="Q147" i="10"/>
  <c r="E23" i="10"/>
  <c r="C237" i="10"/>
  <c r="D237" i="10"/>
  <c r="G237" i="10"/>
  <c r="F23" i="10"/>
  <c r="G23" i="10"/>
  <c r="H23" i="10"/>
  <c r="C101" i="10"/>
  <c r="D101" i="10"/>
  <c r="E101" i="10"/>
  <c r="F101" i="10"/>
  <c r="C146" i="10"/>
  <c r="D146" i="10"/>
  <c r="E146" i="10"/>
  <c r="F146" i="10"/>
  <c r="D22" i="10"/>
  <c r="G146" i="10"/>
  <c r="Q146" i="10"/>
  <c r="E22" i="10"/>
  <c r="C236" i="10"/>
  <c r="D236" i="10"/>
  <c r="G236" i="10"/>
  <c r="F22" i="10"/>
  <c r="G22" i="10"/>
  <c r="H22" i="10"/>
  <c r="C100" i="10"/>
  <c r="D100" i="10"/>
  <c r="E100" i="10"/>
  <c r="F100" i="10"/>
  <c r="C145" i="10"/>
  <c r="D145" i="10"/>
  <c r="E145" i="10"/>
  <c r="F145" i="10"/>
  <c r="D21" i="10"/>
  <c r="G145" i="10"/>
  <c r="Q145" i="10"/>
  <c r="E21" i="10"/>
  <c r="C235" i="10"/>
  <c r="D235" i="10"/>
  <c r="G235" i="10"/>
  <c r="F21" i="10"/>
  <c r="G21" i="10"/>
  <c r="H21" i="10"/>
  <c r="C99" i="10"/>
  <c r="D99" i="10"/>
  <c r="E99" i="10"/>
  <c r="F99" i="10"/>
  <c r="C144" i="10"/>
  <c r="D144" i="10"/>
  <c r="E144" i="10"/>
  <c r="F144" i="10"/>
  <c r="D20" i="10"/>
  <c r="G144" i="10"/>
  <c r="Q144" i="10"/>
  <c r="E20" i="10"/>
  <c r="C234" i="10"/>
  <c r="D234" i="10"/>
  <c r="G234" i="10"/>
  <c r="F20" i="10"/>
  <c r="G20" i="10"/>
  <c r="H20" i="10"/>
  <c r="C98" i="10"/>
  <c r="D98" i="10"/>
  <c r="E98" i="10"/>
  <c r="F98" i="10"/>
  <c r="C143" i="10"/>
  <c r="D143" i="10"/>
  <c r="E143" i="10"/>
  <c r="F143" i="10"/>
  <c r="D19" i="10"/>
  <c r="G143" i="10"/>
  <c r="Q143" i="10"/>
  <c r="E19" i="10"/>
  <c r="C233" i="10"/>
  <c r="D233" i="10"/>
  <c r="G233" i="10"/>
  <c r="F19" i="10"/>
  <c r="G19" i="10"/>
  <c r="H19" i="10"/>
  <c r="C97" i="10"/>
  <c r="D97" i="10"/>
  <c r="E97" i="10"/>
  <c r="F97" i="10"/>
  <c r="C142" i="10"/>
  <c r="D142" i="10"/>
  <c r="E142" i="10"/>
  <c r="F142" i="10"/>
  <c r="D18" i="10"/>
  <c r="G142" i="10"/>
  <c r="Q142" i="10"/>
  <c r="E18" i="10"/>
  <c r="C232" i="10"/>
  <c r="D232" i="10"/>
  <c r="G232" i="10"/>
  <c r="F18" i="10"/>
  <c r="G18" i="10"/>
  <c r="H18" i="10"/>
  <c r="C96" i="10"/>
  <c r="D96" i="10"/>
  <c r="E96" i="10"/>
  <c r="F96" i="10"/>
  <c r="C141" i="10"/>
  <c r="D141" i="10"/>
  <c r="E141" i="10"/>
  <c r="F141" i="10"/>
  <c r="G141" i="10"/>
  <c r="C231" i="10"/>
  <c r="D231" i="10"/>
  <c r="G231" i="10"/>
  <c r="C95" i="10"/>
  <c r="D95" i="10"/>
  <c r="E95" i="10"/>
  <c r="F95" i="10"/>
  <c r="C140" i="10"/>
  <c r="D140" i="10"/>
  <c r="E140" i="10"/>
  <c r="F140" i="10"/>
  <c r="G140" i="10"/>
  <c r="C230" i="10"/>
  <c r="D230" i="10"/>
  <c r="G230" i="10"/>
  <c r="C94" i="10"/>
  <c r="D94" i="10"/>
  <c r="E94" i="10"/>
  <c r="F94" i="10"/>
  <c r="C139" i="10"/>
  <c r="D139" i="10"/>
  <c r="E139" i="10"/>
  <c r="F139" i="10"/>
  <c r="G139" i="10"/>
  <c r="C229" i="10"/>
  <c r="D229" i="10"/>
  <c r="G229" i="10"/>
  <c r="C93" i="10"/>
  <c r="D93" i="10"/>
  <c r="E93" i="10"/>
  <c r="F93" i="10"/>
  <c r="C138" i="10"/>
  <c r="D138" i="10"/>
  <c r="E138" i="10"/>
  <c r="F138" i="10"/>
  <c r="D14" i="10"/>
  <c r="G138" i="10"/>
  <c r="Q138" i="10"/>
  <c r="E14" i="10"/>
  <c r="C228" i="10"/>
  <c r="D228" i="10"/>
  <c r="G228" i="10"/>
  <c r="F14" i="10"/>
  <c r="G14" i="10"/>
  <c r="H14" i="10"/>
  <c r="C92" i="10"/>
  <c r="D92" i="10"/>
  <c r="E92" i="10"/>
  <c r="F92" i="10"/>
  <c r="C137" i="10"/>
  <c r="D137" i="10"/>
  <c r="E137" i="10"/>
  <c r="F137" i="10"/>
  <c r="D13" i="10"/>
  <c r="G137" i="10"/>
  <c r="Q137" i="10"/>
  <c r="E13" i="10"/>
  <c r="C227" i="10"/>
  <c r="D227" i="10"/>
  <c r="G227" i="10"/>
  <c r="F13" i="10"/>
  <c r="G13" i="10"/>
  <c r="H13" i="10"/>
  <c r="C91" i="10"/>
  <c r="D91" i="10"/>
  <c r="E91" i="10"/>
  <c r="F91" i="10"/>
  <c r="C136" i="10"/>
  <c r="D136" i="10"/>
  <c r="E136" i="10"/>
  <c r="F136" i="10"/>
  <c r="D12" i="10"/>
  <c r="G136" i="10"/>
  <c r="Q136" i="10"/>
  <c r="E12" i="10"/>
  <c r="C226" i="10"/>
  <c r="D226" i="10"/>
  <c r="G226" i="10"/>
  <c r="F12" i="10"/>
  <c r="G12" i="10"/>
  <c r="H12" i="10"/>
  <c r="C90" i="10"/>
  <c r="D90" i="10"/>
  <c r="E90" i="10"/>
  <c r="F90" i="10"/>
  <c r="C135" i="10"/>
  <c r="D135" i="10"/>
  <c r="E135" i="10"/>
  <c r="F135" i="10"/>
  <c r="D11" i="10"/>
  <c r="G135" i="10"/>
  <c r="Q135" i="10"/>
  <c r="E11" i="10"/>
  <c r="C225" i="10"/>
  <c r="D225" i="10"/>
  <c r="G225" i="10"/>
  <c r="F11" i="10"/>
  <c r="G11" i="10"/>
  <c r="H11" i="10"/>
  <c r="C89" i="10"/>
  <c r="D89" i="10"/>
  <c r="E89" i="10"/>
  <c r="F89" i="10"/>
  <c r="C134" i="10"/>
  <c r="D134" i="10"/>
  <c r="E134" i="10"/>
  <c r="F134" i="10"/>
  <c r="D10" i="10"/>
  <c r="G134" i="10"/>
  <c r="Q134" i="10"/>
  <c r="E10" i="10"/>
  <c r="C224" i="10"/>
  <c r="D224" i="10"/>
  <c r="G224" i="10"/>
  <c r="F10" i="10"/>
  <c r="G10" i="10"/>
  <c r="H10" i="10"/>
  <c r="C88" i="10"/>
  <c r="D88" i="10"/>
  <c r="E88" i="10"/>
  <c r="F88" i="10"/>
  <c r="C133" i="10"/>
  <c r="D133" i="10"/>
  <c r="E133" i="10"/>
  <c r="F133" i="10"/>
  <c r="D9" i="10"/>
  <c r="G133" i="10"/>
  <c r="Q133" i="10"/>
  <c r="E9" i="10"/>
  <c r="C223" i="10"/>
  <c r="D223" i="10"/>
  <c r="G223" i="10"/>
  <c r="F9" i="10"/>
  <c r="G9" i="10"/>
  <c r="H9" i="10"/>
  <c r="C87" i="10"/>
  <c r="D87" i="10"/>
  <c r="E87" i="10"/>
  <c r="F87" i="10"/>
  <c r="C132" i="10"/>
  <c r="D132" i="10"/>
  <c r="E132" i="10"/>
  <c r="F132" i="10"/>
  <c r="D8" i="10"/>
  <c r="G132" i="10"/>
  <c r="Q132" i="10"/>
  <c r="E8" i="10"/>
  <c r="C222" i="10"/>
  <c r="D222" i="10"/>
  <c r="G222" i="10"/>
  <c r="F8" i="10"/>
  <c r="G8" i="10"/>
  <c r="H8" i="10"/>
  <c r="I261" i="10"/>
  <c r="I260" i="10"/>
  <c r="I259" i="10"/>
  <c r="I258" i="10"/>
  <c r="I257" i="10"/>
  <c r="I256" i="10"/>
  <c r="I255" i="10"/>
  <c r="I254" i="10"/>
  <c r="I253" i="10"/>
  <c r="I252" i="10"/>
  <c r="I251" i="10"/>
  <c r="I250" i="10"/>
  <c r="I249" i="10"/>
  <c r="I248" i="10"/>
  <c r="I247" i="10"/>
  <c r="I246" i="10"/>
  <c r="I245" i="10"/>
  <c r="I244" i="10"/>
  <c r="I243" i="10"/>
  <c r="I242" i="10"/>
  <c r="I241" i="10"/>
  <c r="I240" i="10"/>
  <c r="I239" i="10"/>
  <c r="I238" i="10"/>
  <c r="I237" i="10"/>
  <c r="I236" i="10"/>
  <c r="I235" i="10"/>
  <c r="I234" i="10"/>
  <c r="I233" i="10"/>
  <c r="I232" i="10"/>
  <c r="I231" i="10"/>
  <c r="I230" i="10"/>
  <c r="I229" i="10"/>
  <c r="I228" i="10"/>
  <c r="I227" i="10"/>
  <c r="I226" i="10"/>
  <c r="I225" i="10"/>
  <c r="I224" i="10"/>
  <c r="I223" i="10"/>
  <c r="I222" i="10"/>
  <c r="Q216" i="10"/>
  <c r="Q215" i="10"/>
  <c r="Q214" i="10"/>
  <c r="Q213" i="10"/>
  <c r="Q212" i="10"/>
  <c r="Q211" i="10"/>
  <c r="Q210" i="10"/>
  <c r="Q209" i="10"/>
  <c r="Q208" i="10"/>
  <c r="Q207" i="10"/>
  <c r="Q206" i="10"/>
  <c r="Q205" i="10"/>
  <c r="Q204" i="10"/>
  <c r="Q203" i="10"/>
  <c r="Q202" i="10"/>
  <c r="Q201" i="10"/>
  <c r="Q200" i="10"/>
  <c r="Q199" i="10"/>
  <c r="Q198" i="10"/>
  <c r="Q197" i="10"/>
  <c r="Q196" i="10"/>
  <c r="Q195" i="10"/>
  <c r="Q194" i="10"/>
  <c r="Q193" i="10"/>
  <c r="Q192" i="10"/>
  <c r="Q191" i="10"/>
  <c r="Q190" i="10"/>
  <c r="Q189" i="10"/>
  <c r="Q188" i="10"/>
  <c r="Q187" i="10"/>
  <c r="Q186" i="10"/>
  <c r="Q185" i="10"/>
  <c r="Q184" i="10"/>
  <c r="Q183" i="10"/>
  <c r="Q182" i="10"/>
  <c r="Q181" i="10"/>
  <c r="Q180" i="10"/>
  <c r="Q179" i="10"/>
  <c r="Q178" i="10"/>
  <c r="Q177" i="10"/>
  <c r="C216" i="10"/>
  <c r="D216" i="10"/>
  <c r="E216" i="10"/>
  <c r="F216" i="10"/>
  <c r="G216" i="10"/>
  <c r="C215" i="10"/>
  <c r="D215" i="10"/>
  <c r="E215" i="10"/>
  <c r="F215" i="10"/>
  <c r="G215" i="10"/>
  <c r="C214" i="10"/>
  <c r="D214" i="10"/>
  <c r="E214" i="10"/>
  <c r="F214" i="10"/>
  <c r="G214" i="10"/>
  <c r="C213" i="10"/>
  <c r="D213" i="10"/>
  <c r="E213" i="10"/>
  <c r="F213" i="10"/>
  <c r="G213" i="10"/>
  <c r="C212" i="10"/>
  <c r="D212" i="10"/>
  <c r="E212" i="10"/>
  <c r="F212" i="10"/>
  <c r="G212" i="10"/>
  <c r="C211" i="10"/>
  <c r="D211" i="10"/>
  <c r="E211" i="10"/>
  <c r="F211" i="10"/>
  <c r="G211" i="10"/>
  <c r="C210" i="10"/>
  <c r="D210" i="10"/>
  <c r="E210" i="10"/>
  <c r="F210" i="10"/>
  <c r="G210" i="10"/>
  <c r="C209" i="10"/>
  <c r="D209" i="10"/>
  <c r="E209" i="10"/>
  <c r="F209" i="10"/>
  <c r="G209" i="10"/>
  <c r="C208" i="10"/>
  <c r="D208" i="10"/>
  <c r="E208" i="10"/>
  <c r="F208" i="10"/>
  <c r="G208" i="10"/>
  <c r="C207" i="10"/>
  <c r="D207" i="10"/>
  <c r="E207" i="10"/>
  <c r="F207" i="10"/>
  <c r="G207" i="10"/>
  <c r="C206" i="10"/>
  <c r="D206" i="10"/>
  <c r="E206" i="10"/>
  <c r="F206" i="10"/>
  <c r="G206" i="10"/>
  <c r="C205" i="10"/>
  <c r="D205" i="10"/>
  <c r="E205" i="10"/>
  <c r="F205" i="10"/>
  <c r="G205" i="10"/>
  <c r="C204" i="10"/>
  <c r="D204" i="10"/>
  <c r="E204" i="10"/>
  <c r="F204" i="10"/>
  <c r="G204" i="10"/>
  <c r="C203" i="10"/>
  <c r="D203" i="10"/>
  <c r="E203" i="10"/>
  <c r="F203" i="10"/>
  <c r="G203" i="10"/>
  <c r="C202" i="10"/>
  <c r="D202" i="10"/>
  <c r="E202" i="10"/>
  <c r="F202" i="10"/>
  <c r="G202" i="10"/>
  <c r="C201" i="10"/>
  <c r="D201" i="10"/>
  <c r="E201" i="10"/>
  <c r="F201" i="10"/>
  <c r="G201" i="10"/>
  <c r="C200" i="10"/>
  <c r="D200" i="10"/>
  <c r="E200" i="10"/>
  <c r="F200" i="10"/>
  <c r="G200" i="10"/>
  <c r="C199" i="10"/>
  <c r="D199" i="10"/>
  <c r="E199" i="10"/>
  <c r="F199" i="10"/>
  <c r="G199" i="10"/>
  <c r="C198" i="10"/>
  <c r="D198" i="10"/>
  <c r="E198" i="10"/>
  <c r="F198" i="10"/>
  <c r="G198" i="10"/>
  <c r="C197" i="10"/>
  <c r="D197" i="10"/>
  <c r="E197" i="10"/>
  <c r="F197" i="10"/>
  <c r="G197" i="10"/>
  <c r="C196" i="10"/>
  <c r="D196" i="10"/>
  <c r="E196" i="10"/>
  <c r="F196" i="10"/>
  <c r="G196" i="10"/>
  <c r="C195" i="10"/>
  <c r="D195" i="10"/>
  <c r="E195" i="10"/>
  <c r="F195" i="10"/>
  <c r="G195" i="10"/>
  <c r="C194" i="10"/>
  <c r="D194" i="10"/>
  <c r="E194" i="10"/>
  <c r="F194" i="10"/>
  <c r="G194" i="10"/>
  <c r="C193" i="10"/>
  <c r="D193" i="10"/>
  <c r="E193" i="10"/>
  <c r="F193" i="10"/>
  <c r="G193" i="10"/>
  <c r="C192" i="10"/>
  <c r="D192" i="10"/>
  <c r="E192" i="10"/>
  <c r="F192" i="10"/>
  <c r="G192" i="10"/>
  <c r="C191" i="10"/>
  <c r="D191" i="10"/>
  <c r="E191" i="10"/>
  <c r="F191" i="10"/>
  <c r="G191" i="10"/>
  <c r="C190" i="10"/>
  <c r="D190" i="10"/>
  <c r="E190" i="10"/>
  <c r="F190" i="10"/>
  <c r="G190" i="10"/>
  <c r="C189" i="10"/>
  <c r="D189" i="10"/>
  <c r="E189" i="10"/>
  <c r="F189" i="10"/>
  <c r="G189" i="10"/>
  <c r="C188" i="10"/>
  <c r="D188" i="10"/>
  <c r="E188" i="10"/>
  <c r="F188" i="10"/>
  <c r="G188" i="10"/>
  <c r="C187" i="10"/>
  <c r="D187" i="10"/>
  <c r="E187" i="10"/>
  <c r="F187" i="10"/>
  <c r="G187" i="10"/>
  <c r="C186" i="10"/>
  <c r="D186" i="10"/>
  <c r="E186" i="10"/>
  <c r="F186" i="10"/>
  <c r="G186" i="10"/>
  <c r="C185" i="10"/>
  <c r="D185" i="10"/>
  <c r="E185" i="10"/>
  <c r="F185" i="10"/>
  <c r="G185" i="10"/>
  <c r="C184" i="10"/>
  <c r="D184" i="10"/>
  <c r="E184" i="10"/>
  <c r="F184" i="10"/>
  <c r="G184" i="10"/>
  <c r="C183" i="10"/>
  <c r="D183" i="10"/>
  <c r="E183" i="10"/>
  <c r="F183" i="10"/>
  <c r="G183" i="10"/>
  <c r="C182" i="10"/>
  <c r="D182" i="10"/>
  <c r="E182" i="10"/>
  <c r="F182" i="10"/>
  <c r="G182" i="10"/>
  <c r="C181" i="10"/>
  <c r="D181" i="10"/>
  <c r="E181" i="10"/>
  <c r="F181" i="10"/>
  <c r="G181" i="10"/>
  <c r="C180" i="10"/>
  <c r="D180" i="10"/>
  <c r="E180" i="10"/>
  <c r="F180" i="10"/>
  <c r="G180" i="10"/>
  <c r="C179" i="10"/>
  <c r="D179" i="10"/>
  <c r="E179" i="10"/>
  <c r="F179" i="10"/>
  <c r="G179" i="10"/>
  <c r="C178" i="10"/>
  <c r="D178" i="10"/>
  <c r="E178" i="10"/>
  <c r="F178" i="10"/>
  <c r="G178" i="10"/>
  <c r="C177" i="10"/>
  <c r="D177" i="10"/>
  <c r="E177" i="10"/>
  <c r="F177" i="10"/>
  <c r="G177" i="10"/>
  <c r="Q126" i="10"/>
  <c r="Q125" i="10"/>
  <c r="Q124" i="10"/>
  <c r="Q123" i="10"/>
  <c r="Q122" i="10"/>
  <c r="Q121" i="10"/>
  <c r="Q120" i="10"/>
  <c r="Q119" i="10"/>
  <c r="Q118" i="10"/>
  <c r="Q117" i="10"/>
  <c r="Q116" i="10"/>
  <c r="Q115" i="10"/>
  <c r="Q114" i="10"/>
  <c r="Q113" i="10"/>
  <c r="Q112" i="10"/>
  <c r="Q111" i="10"/>
  <c r="Q110" i="10"/>
  <c r="Q109" i="10"/>
  <c r="Q108" i="10"/>
  <c r="Q107" i="10"/>
  <c r="Q106" i="10"/>
  <c r="Q105" i="10"/>
  <c r="Q104" i="10"/>
  <c r="Q103" i="10"/>
  <c r="Q102" i="10"/>
  <c r="Q101" i="10"/>
  <c r="Q100" i="10"/>
  <c r="Q99" i="10"/>
  <c r="Q98" i="10"/>
  <c r="Q97" i="10"/>
  <c r="Q96" i="10"/>
  <c r="Q95" i="10"/>
  <c r="Q94" i="10"/>
  <c r="Q93" i="10"/>
  <c r="Q92" i="10"/>
  <c r="Q91" i="10"/>
  <c r="Q90" i="10"/>
  <c r="Q89" i="10"/>
  <c r="Q88" i="10"/>
  <c r="Q87" i="10"/>
  <c r="E86"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C46" i="20"/>
  <c r="C47" i="20"/>
  <c r="C48" i="20"/>
  <c r="C49" i="20"/>
  <c r="C50" i="20"/>
  <c r="C51" i="20"/>
  <c r="C52" i="20"/>
  <c r="C53" i="20"/>
  <c r="C54" i="20"/>
  <c r="C55" i="20"/>
  <c r="D55" i="20"/>
  <c r="E55" i="20"/>
  <c r="D54" i="20"/>
  <c r="E54" i="20"/>
  <c r="D53" i="20"/>
  <c r="E53" i="20"/>
  <c r="D52" i="20"/>
  <c r="E52" i="20"/>
  <c r="D51" i="20"/>
  <c r="E51" i="20"/>
  <c r="D50" i="20"/>
  <c r="E50" i="20"/>
  <c r="D49" i="20"/>
  <c r="E49" i="20"/>
  <c r="D48" i="20"/>
  <c r="E48" i="20"/>
  <c r="D47" i="20"/>
  <c r="E47" i="20"/>
  <c r="D46" i="20"/>
  <c r="E46" i="20"/>
  <c r="AA69" i="7"/>
  <c r="AD69" i="7"/>
  <c r="AD75" i="7"/>
  <c r="AA74" i="7"/>
  <c r="AC74" i="7"/>
  <c r="AC75" i="7"/>
  <c r="AA70" i="7"/>
  <c r="AB70" i="7"/>
  <c r="AA71" i="7"/>
  <c r="AB71" i="7"/>
  <c r="AA72" i="7"/>
  <c r="AB72" i="7"/>
  <c r="AA73" i="7"/>
  <c r="AB73" i="7"/>
  <c r="AB75" i="7"/>
  <c r="G61" i="7"/>
  <c r="M61" i="7"/>
  <c r="G60" i="7"/>
  <c r="M60" i="7"/>
  <c r="G59" i="7"/>
  <c r="M59" i="7"/>
  <c r="G58" i="7"/>
  <c r="M58" i="7"/>
  <c r="G57" i="7"/>
  <c r="M57" i="7"/>
  <c r="G56" i="7"/>
  <c r="M56" i="7"/>
  <c r="G55" i="7"/>
  <c r="M55" i="7"/>
  <c r="G54" i="7"/>
  <c r="M54" i="7"/>
  <c r="G53" i="7"/>
  <c r="M53" i="7"/>
  <c r="G52" i="7"/>
  <c r="M52" i="7"/>
  <c r="G51" i="7"/>
  <c r="M51" i="7"/>
  <c r="G50" i="7"/>
  <c r="M50" i="7"/>
  <c r="G31" i="7"/>
  <c r="M31" i="7"/>
  <c r="G30" i="7"/>
  <c r="M30" i="7"/>
  <c r="G29" i="7"/>
  <c r="M29" i="7"/>
  <c r="G28" i="7"/>
  <c r="M28" i="7"/>
  <c r="G27" i="7"/>
  <c r="M27" i="7"/>
  <c r="G26" i="7"/>
  <c r="M26" i="7"/>
  <c r="G25" i="7"/>
  <c r="M25" i="7"/>
  <c r="G24" i="7"/>
  <c r="M24" i="7"/>
  <c r="G23" i="7"/>
  <c r="M23" i="7"/>
  <c r="G22" i="7"/>
  <c r="M22" i="7"/>
  <c r="G21" i="7"/>
  <c r="M21" i="7"/>
  <c r="G62" i="7"/>
  <c r="B9"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E61" i="7"/>
  <c r="K61" i="7"/>
  <c r="E60" i="7"/>
  <c r="K60" i="7"/>
  <c r="E59" i="7"/>
  <c r="K59" i="7"/>
  <c r="E58" i="7"/>
  <c r="K58" i="7"/>
  <c r="E57" i="7"/>
  <c r="K57" i="7"/>
  <c r="E56" i="7"/>
  <c r="K56" i="7"/>
  <c r="E55" i="7"/>
  <c r="K55" i="7"/>
  <c r="E54" i="7"/>
  <c r="K54" i="7"/>
  <c r="E53" i="7"/>
  <c r="K53" i="7"/>
  <c r="E52" i="7"/>
  <c r="K52" i="7"/>
  <c r="E51" i="7"/>
  <c r="K51" i="7"/>
  <c r="E50" i="7"/>
  <c r="K50" i="7"/>
  <c r="E31" i="7"/>
  <c r="K31" i="7"/>
  <c r="E30" i="7"/>
  <c r="K30" i="7"/>
  <c r="E29" i="7"/>
  <c r="K29" i="7"/>
  <c r="E28" i="7"/>
  <c r="K28" i="7"/>
  <c r="E27" i="7"/>
  <c r="K27" i="7"/>
  <c r="E26" i="7"/>
  <c r="K26" i="7"/>
  <c r="E25" i="7"/>
  <c r="K25" i="7"/>
  <c r="E24" i="7"/>
  <c r="K24" i="7"/>
  <c r="E23" i="7"/>
  <c r="K23" i="7"/>
  <c r="E22" i="7"/>
  <c r="K22" i="7"/>
  <c r="E21" i="7"/>
  <c r="K21" i="7"/>
  <c r="E62" i="7"/>
  <c r="W70" i="7"/>
  <c r="X69" i="7"/>
  <c r="W74" i="7"/>
  <c r="W73" i="7"/>
  <c r="W72" i="7"/>
  <c r="W71" i="7"/>
  <c r="C122" i="7"/>
  <c r="C123" i="7"/>
  <c r="D123" i="7"/>
  <c r="C127" i="7"/>
  <c r="H105" i="7"/>
  <c r="C111" i="7"/>
  <c r="F111" i="7"/>
  <c r="H111" i="7"/>
  <c r="H112" i="7"/>
  <c r="C120" i="7"/>
  <c r="C121" i="7"/>
  <c r="C124" i="7"/>
  <c r="D124" i="7"/>
  <c r="C128" i="7"/>
  <c r="C110" i="7"/>
  <c r="C109" i="7"/>
  <c r="C108" i="7"/>
  <c r="C107" i="7"/>
  <c r="D106" i="7"/>
  <c r="D105" i="7"/>
  <c r="G112" i="7"/>
  <c r="D61" i="7"/>
  <c r="J61" i="7"/>
  <c r="F61" i="7"/>
  <c r="L61" i="7"/>
  <c r="H61" i="7"/>
  <c r="N61" i="7"/>
  <c r="I61" i="7"/>
  <c r="O61" i="7"/>
  <c r="P61" i="7"/>
  <c r="D87" i="7"/>
  <c r="I87" i="7"/>
  <c r="D91" i="7"/>
  <c r="D92" i="7"/>
  <c r="D93" i="7"/>
  <c r="I88" i="7"/>
  <c r="J87" i="7"/>
  <c r="D95" i="7"/>
  <c r="D97" i="7"/>
  <c r="I95" i="7"/>
  <c r="J95" i="7"/>
  <c r="I99" i="7"/>
  <c r="B10" i="7"/>
  <c r="Q61" i="7"/>
  <c r="D60" i="7"/>
  <c r="J60" i="7"/>
  <c r="F60" i="7"/>
  <c r="L60" i="7"/>
  <c r="H60" i="7"/>
  <c r="N60" i="7"/>
  <c r="I60" i="7"/>
  <c r="O60" i="7"/>
  <c r="P60" i="7"/>
  <c r="Q60" i="7"/>
  <c r="D59" i="7"/>
  <c r="J59" i="7"/>
  <c r="F59" i="7"/>
  <c r="L59" i="7"/>
  <c r="H59" i="7"/>
  <c r="N59" i="7"/>
  <c r="I59" i="7"/>
  <c r="O59" i="7"/>
  <c r="P59" i="7"/>
  <c r="Q59" i="7"/>
  <c r="D58" i="7"/>
  <c r="J58" i="7"/>
  <c r="F58" i="7"/>
  <c r="L58" i="7"/>
  <c r="H58" i="7"/>
  <c r="N58" i="7"/>
  <c r="I58" i="7"/>
  <c r="O58" i="7"/>
  <c r="P58" i="7"/>
  <c r="Q58" i="7"/>
  <c r="D57" i="7"/>
  <c r="J57" i="7"/>
  <c r="F57" i="7"/>
  <c r="L57" i="7"/>
  <c r="H57" i="7"/>
  <c r="N57" i="7"/>
  <c r="I57" i="7"/>
  <c r="O57" i="7"/>
  <c r="P57" i="7"/>
  <c r="Q57" i="7"/>
  <c r="D56" i="7"/>
  <c r="J56" i="7"/>
  <c r="F56" i="7"/>
  <c r="L56" i="7"/>
  <c r="H56" i="7"/>
  <c r="N56" i="7"/>
  <c r="I56" i="7"/>
  <c r="O56" i="7"/>
  <c r="P56" i="7"/>
  <c r="Q56" i="7"/>
  <c r="D55" i="7"/>
  <c r="J55" i="7"/>
  <c r="F55" i="7"/>
  <c r="L55" i="7"/>
  <c r="H55" i="7"/>
  <c r="N55" i="7"/>
  <c r="I55" i="7"/>
  <c r="O55" i="7"/>
  <c r="P55" i="7"/>
  <c r="Q55" i="7"/>
  <c r="D54" i="7"/>
  <c r="J54" i="7"/>
  <c r="F54" i="7"/>
  <c r="L54" i="7"/>
  <c r="H54" i="7"/>
  <c r="N54" i="7"/>
  <c r="I54" i="7"/>
  <c r="O54" i="7"/>
  <c r="P54" i="7"/>
  <c r="Q54" i="7"/>
  <c r="D53" i="7"/>
  <c r="J53" i="7"/>
  <c r="F53" i="7"/>
  <c r="L53" i="7"/>
  <c r="H53" i="7"/>
  <c r="N53" i="7"/>
  <c r="I53" i="7"/>
  <c r="O53" i="7"/>
  <c r="P53" i="7"/>
  <c r="Q53" i="7"/>
  <c r="D52" i="7"/>
  <c r="J52" i="7"/>
  <c r="F52" i="7"/>
  <c r="L52" i="7"/>
  <c r="H52" i="7"/>
  <c r="N52" i="7"/>
  <c r="I52" i="7"/>
  <c r="O52" i="7"/>
  <c r="P52" i="7"/>
  <c r="Q52" i="7"/>
  <c r="D51" i="7"/>
  <c r="J51" i="7"/>
  <c r="F51" i="7"/>
  <c r="L51" i="7"/>
  <c r="H51" i="7"/>
  <c r="N51" i="7"/>
  <c r="I51" i="7"/>
  <c r="O51" i="7"/>
  <c r="P51" i="7"/>
  <c r="Q51" i="7"/>
  <c r="D50" i="7"/>
  <c r="J50" i="7"/>
  <c r="F50" i="7"/>
  <c r="L50" i="7"/>
  <c r="H50" i="7"/>
  <c r="N50" i="7"/>
  <c r="I50" i="7"/>
  <c r="O50" i="7"/>
  <c r="P50" i="7"/>
  <c r="Q50" i="7"/>
  <c r="E98" i="7"/>
  <c r="E96" i="7"/>
  <c r="E89" i="7"/>
  <c r="E88" i="7"/>
  <c r="E94" i="7"/>
  <c r="E90" i="7"/>
  <c r="D21" i="7"/>
  <c r="J21" i="7"/>
  <c r="F21" i="7"/>
  <c r="L21" i="7"/>
  <c r="H21" i="7"/>
  <c r="N21" i="7"/>
  <c r="I21" i="7"/>
  <c r="O21" i="7"/>
  <c r="P21" i="7"/>
  <c r="H31" i="7"/>
  <c r="N31" i="7"/>
  <c r="H30" i="7"/>
  <c r="N30" i="7"/>
  <c r="H29" i="7"/>
  <c r="N29" i="7"/>
  <c r="H28" i="7"/>
  <c r="N28" i="7"/>
  <c r="H27" i="7"/>
  <c r="N27" i="7"/>
  <c r="H26" i="7"/>
  <c r="N26" i="7"/>
  <c r="H25" i="7"/>
  <c r="N25" i="7"/>
  <c r="H24" i="7"/>
  <c r="N24" i="7"/>
  <c r="H23" i="7"/>
  <c r="N23" i="7"/>
  <c r="H22" i="7"/>
  <c r="N22" i="7"/>
  <c r="H62" i="7"/>
  <c r="D80" i="16"/>
  <c r="E80" i="16"/>
  <c r="D81" i="16"/>
  <c r="E81" i="16"/>
  <c r="E86" i="16"/>
  <c r="F47" i="19"/>
  <c r="F46" i="19"/>
  <c r="F45" i="19"/>
  <c r="F44" i="19"/>
  <c r="F43" i="19"/>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48" i="19"/>
  <c r="C47" i="19"/>
  <c r="D47" i="19"/>
  <c r="C46" i="19"/>
  <c r="D46" i="19"/>
  <c r="C45" i="19"/>
  <c r="D45" i="19"/>
  <c r="C44" i="19"/>
  <c r="D44" i="19"/>
  <c r="C43" i="19"/>
  <c r="D43" i="19"/>
  <c r="C42" i="19"/>
  <c r="D42" i="19"/>
  <c r="C41" i="19"/>
  <c r="D41" i="19"/>
  <c r="C40" i="19"/>
  <c r="D40" i="19"/>
  <c r="C39" i="19"/>
  <c r="D39" i="19"/>
  <c r="C38" i="19"/>
  <c r="D38" i="19"/>
  <c r="C37" i="19"/>
  <c r="D37" i="19"/>
  <c r="C36" i="19"/>
  <c r="D36" i="19"/>
  <c r="C35" i="19"/>
  <c r="D35" i="19"/>
  <c r="C34" i="19"/>
  <c r="D34" i="19"/>
  <c r="C33" i="19"/>
  <c r="D33" i="19"/>
  <c r="C32" i="19"/>
  <c r="D32" i="19"/>
  <c r="C31" i="19"/>
  <c r="D31" i="19"/>
  <c r="C30" i="19"/>
  <c r="D30" i="19"/>
  <c r="C29" i="19"/>
  <c r="D29" i="19"/>
  <c r="C28" i="19"/>
  <c r="D28" i="19"/>
  <c r="C27" i="19"/>
  <c r="D27" i="19"/>
  <c r="C26" i="19"/>
  <c r="D26" i="19"/>
  <c r="C25" i="19"/>
  <c r="D25" i="19"/>
  <c r="C24" i="19"/>
  <c r="D24" i="19"/>
  <c r="C23" i="19"/>
  <c r="D23" i="19"/>
  <c r="C22" i="19"/>
  <c r="D22" i="19"/>
  <c r="C21" i="19"/>
  <c r="D21" i="19"/>
  <c r="C20" i="19"/>
  <c r="D20" i="19"/>
  <c r="C19" i="19"/>
  <c r="D19" i="19"/>
  <c r="C18" i="19"/>
  <c r="D18" i="19"/>
  <c r="C17" i="19"/>
  <c r="D17" i="19"/>
  <c r="C16" i="19"/>
  <c r="D16" i="19"/>
  <c r="C15" i="19"/>
  <c r="D15" i="19"/>
  <c r="C14" i="19"/>
  <c r="D14" i="19"/>
  <c r="C13" i="19"/>
  <c r="D13" i="19"/>
  <c r="C12" i="19"/>
  <c r="D12" i="19"/>
  <c r="C11" i="19"/>
  <c r="D11" i="19"/>
  <c r="D10" i="19"/>
  <c r="D9" i="19"/>
  <c r="D8" i="19"/>
  <c r="D7" i="19"/>
  <c r="D48" i="19"/>
  <c r="E47" i="19"/>
  <c r="E46" i="19"/>
  <c r="E45" i="19"/>
  <c r="E44" i="19"/>
  <c r="E43" i="19"/>
  <c r="E42" i="19"/>
  <c r="E41" i="19"/>
  <c r="E40" i="19"/>
  <c r="E39" i="19"/>
  <c r="E38" i="19"/>
  <c r="E37" i="19"/>
  <c r="E36" i="19"/>
  <c r="E35" i="19"/>
  <c r="E34" i="19"/>
  <c r="E33" i="19"/>
  <c r="E32" i="19"/>
  <c r="E31" i="19"/>
  <c r="E30" i="19"/>
  <c r="E29" i="19"/>
  <c r="E28" i="19"/>
  <c r="E27" i="19"/>
  <c r="E26" i="19"/>
  <c r="E25" i="19"/>
  <c r="E24" i="19"/>
  <c r="E23" i="19"/>
  <c r="E22" i="19"/>
  <c r="E21" i="19"/>
  <c r="E20" i="19"/>
  <c r="E19" i="19"/>
  <c r="E18" i="19"/>
  <c r="E17" i="19"/>
  <c r="E16" i="19"/>
  <c r="E15" i="19"/>
  <c r="E14" i="19"/>
  <c r="E13" i="19"/>
  <c r="E12" i="19"/>
  <c r="E11" i="19"/>
  <c r="E78" i="18"/>
  <c r="E76" i="18"/>
  <c r="F47" i="18"/>
  <c r="F48" i="18"/>
  <c r="F49" i="18"/>
  <c r="F50" i="18"/>
  <c r="F51" i="18"/>
  <c r="F52" i="18"/>
  <c r="F53" i="18"/>
  <c r="F54" i="18"/>
  <c r="F55" i="18"/>
  <c r="F56" i="18"/>
  <c r="F57" i="18"/>
  <c r="F58" i="18"/>
  <c r="F59" i="18"/>
  <c r="F60" i="18"/>
  <c r="F61" i="18"/>
  <c r="F62" i="18"/>
  <c r="F63" i="18"/>
  <c r="F64" i="18"/>
  <c r="F65" i="18"/>
  <c r="F66" i="18"/>
  <c r="F67" i="18"/>
  <c r="D72" i="18"/>
  <c r="F10" i="18"/>
  <c r="F11" i="18"/>
  <c r="F12" i="18"/>
  <c r="F13" i="18"/>
  <c r="F14" i="18"/>
  <c r="F15" i="18"/>
  <c r="F16" i="18"/>
  <c r="C17" i="18"/>
  <c r="F17" i="18"/>
  <c r="F18" i="18"/>
  <c r="F19" i="18"/>
  <c r="F20" i="18"/>
  <c r="F21" i="18"/>
  <c r="F22" i="18"/>
  <c r="F23" i="18"/>
  <c r="F24" i="18"/>
  <c r="F25" i="18"/>
  <c r="F26" i="18"/>
  <c r="F27" i="18"/>
  <c r="F28" i="18"/>
  <c r="F29" i="18"/>
  <c r="F30" i="18"/>
  <c r="F31" i="18"/>
  <c r="F32" i="18"/>
  <c r="F33" i="18"/>
  <c r="F34" i="18"/>
  <c r="F35" i="18"/>
  <c r="F36" i="18"/>
  <c r="F37" i="18"/>
  <c r="F38" i="18"/>
  <c r="F40" i="18"/>
  <c r="F41" i="18"/>
  <c r="D71" i="18"/>
  <c r="E76" i="17"/>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7" i="19"/>
  <c r="G8" i="19"/>
  <c r="G9" i="19"/>
  <c r="G10" i="19"/>
  <c r="G11" i="19"/>
  <c r="G48" i="19"/>
  <c r="E48" i="19"/>
  <c r="H12" i="19"/>
  <c r="H13" i="19"/>
  <c r="H14" i="19"/>
  <c r="H15" i="19"/>
  <c r="H16" i="19"/>
  <c r="H17" i="19"/>
  <c r="H18" i="19"/>
  <c r="H19" i="19"/>
  <c r="H20" i="19"/>
  <c r="H21" i="19"/>
  <c r="H22" i="19"/>
  <c r="H23" i="19"/>
  <c r="H24" i="19"/>
  <c r="H25" i="19"/>
  <c r="H26" i="19"/>
  <c r="H27" i="19"/>
  <c r="H28" i="19"/>
  <c r="H29" i="19"/>
  <c r="H30" i="19"/>
  <c r="H31" i="19"/>
  <c r="H32" i="19"/>
  <c r="H33" i="19"/>
  <c r="H34" i="19"/>
  <c r="H35" i="19"/>
  <c r="H36" i="19"/>
  <c r="H37" i="19"/>
  <c r="H38" i="19"/>
  <c r="H39" i="19"/>
  <c r="H40" i="19"/>
  <c r="H41" i="19"/>
  <c r="H42" i="19"/>
  <c r="H43" i="19"/>
  <c r="H44" i="19"/>
  <c r="H45" i="19"/>
  <c r="H46" i="19"/>
  <c r="H47" i="19"/>
  <c r="H7" i="19"/>
  <c r="H8" i="19"/>
  <c r="H9" i="19"/>
  <c r="H10" i="19"/>
  <c r="H11" i="19"/>
  <c r="H48" i="19"/>
  <c r="C48" i="19"/>
  <c r="E71" i="18"/>
  <c r="E72" i="18"/>
  <c r="F44" i="17"/>
  <c r="F45" i="17"/>
  <c r="F46" i="17"/>
  <c r="F47" i="17"/>
  <c r="F48" i="17"/>
  <c r="F49" i="17"/>
  <c r="F50" i="17"/>
  <c r="F51" i="17"/>
  <c r="F52" i="17"/>
  <c r="F53" i="17"/>
  <c r="F54" i="17"/>
  <c r="F55" i="17"/>
  <c r="F56" i="17"/>
  <c r="F57" i="17"/>
  <c r="F58" i="17"/>
  <c r="F59" i="17"/>
  <c r="F60" i="17"/>
  <c r="F61" i="17"/>
  <c r="F62" i="17"/>
  <c r="F64" i="17"/>
  <c r="F65" i="17"/>
  <c r="D69" i="17"/>
  <c r="E69" i="17"/>
  <c r="F10" i="17"/>
  <c r="F11" i="17"/>
  <c r="F12" i="17"/>
  <c r="F13" i="17"/>
  <c r="F14" i="17"/>
  <c r="F15" i="17"/>
  <c r="F16" i="17"/>
  <c r="F17" i="17"/>
  <c r="F18" i="17"/>
  <c r="F19" i="17"/>
  <c r="F20" i="17"/>
  <c r="F21" i="17"/>
  <c r="F22" i="17"/>
  <c r="F23" i="17"/>
  <c r="C24" i="17"/>
  <c r="F24" i="17"/>
  <c r="F25" i="17"/>
  <c r="F26" i="17"/>
  <c r="F27" i="17"/>
  <c r="F28" i="17"/>
  <c r="F29" i="17"/>
  <c r="F30" i="17"/>
  <c r="F31" i="17"/>
  <c r="F32" i="17"/>
  <c r="F33" i="17"/>
  <c r="F35" i="17"/>
  <c r="F36" i="17"/>
  <c r="D70" i="17"/>
  <c r="E70" i="17"/>
  <c r="E72" i="17"/>
  <c r="E73" i="17"/>
  <c r="E78" i="17"/>
  <c r="B43" i="8"/>
  <c r="B42" i="8"/>
  <c r="A43" i="8"/>
  <c r="C16" i="4"/>
  <c r="C17" i="4"/>
  <c r="C18" i="4"/>
  <c r="C19" i="4"/>
  <c r="C20" i="4"/>
  <c r="C21" i="4"/>
  <c r="C22" i="4"/>
  <c r="C23" i="4"/>
  <c r="C24" i="4"/>
  <c r="C25" i="4"/>
  <c r="C26" i="4"/>
  <c r="D26" i="4"/>
  <c r="E26" i="4"/>
  <c r="F26" i="4"/>
  <c r="C27" i="4"/>
  <c r="D27" i="4"/>
  <c r="E27" i="4"/>
  <c r="F27" i="4"/>
  <c r="C28" i="4"/>
  <c r="D28" i="4"/>
  <c r="E28" i="4"/>
  <c r="F28" i="4"/>
  <c r="C29" i="4"/>
  <c r="D29" i="4"/>
  <c r="E29" i="4"/>
  <c r="F29" i="4"/>
  <c r="C30" i="4"/>
  <c r="D30" i="4"/>
  <c r="E30" i="4"/>
  <c r="F30" i="4"/>
  <c r="C31" i="4"/>
  <c r="D31" i="4"/>
  <c r="E31" i="4"/>
  <c r="F31" i="4"/>
  <c r="C32" i="4"/>
  <c r="D32" i="4"/>
  <c r="E32" i="4"/>
  <c r="F32" i="4"/>
  <c r="C33" i="4"/>
  <c r="D33" i="4"/>
  <c r="E33" i="4"/>
  <c r="F33" i="4"/>
  <c r="C34" i="4"/>
  <c r="D34" i="4"/>
  <c r="E34" i="4"/>
  <c r="F34" i="4"/>
  <c r="C35" i="4"/>
  <c r="D35" i="4"/>
  <c r="E35" i="4"/>
  <c r="F35" i="4"/>
  <c r="C36" i="4"/>
  <c r="D36" i="4"/>
  <c r="E36" i="4"/>
  <c r="F36" i="4"/>
  <c r="C37" i="4"/>
  <c r="D37" i="4"/>
  <c r="E37" i="4"/>
  <c r="F37" i="4"/>
  <c r="C38" i="4"/>
  <c r="D38" i="4"/>
  <c r="E38" i="4"/>
  <c r="F38" i="4"/>
  <c r="C39" i="4"/>
  <c r="D39" i="4"/>
  <c r="E39" i="4"/>
  <c r="F39" i="4"/>
  <c r="C40" i="4"/>
  <c r="D40" i="4"/>
  <c r="E40" i="4"/>
  <c r="F40" i="4"/>
  <c r="C41" i="4"/>
  <c r="D41" i="4"/>
  <c r="E41" i="4"/>
  <c r="F41" i="4"/>
  <c r="C42" i="4"/>
  <c r="D42" i="4"/>
  <c r="E42" i="4"/>
  <c r="F42" i="4"/>
  <c r="C43" i="4"/>
  <c r="D43" i="4"/>
  <c r="E43" i="4"/>
  <c r="F43" i="4"/>
  <c r="C44" i="4"/>
  <c r="D44" i="4"/>
  <c r="E44" i="4"/>
  <c r="F44" i="4"/>
  <c r="C45" i="4"/>
  <c r="D45" i="4"/>
  <c r="E45" i="4"/>
  <c r="F45" i="4"/>
  <c r="S27" i="7"/>
  <c r="S28" i="7"/>
  <c r="S29" i="7"/>
  <c r="S30" i="7"/>
  <c r="S31" i="7"/>
  <c r="B57" i="9"/>
  <c r="B53" i="9"/>
  <c r="B52" i="9"/>
  <c r="B54" i="9"/>
  <c r="B59" i="9"/>
  <c r="B61" i="9"/>
  <c r="B58" i="9"/>
  <c r="B60" i="9"/>
  <c r="B62" i="9"/>
  <c r="D15" i="9"/>
  <c r="D16" i="9"/>
  <c r="D17" i="9"/>
  <c r="C131" i="10"/>
  <c r="D131" i="10"/>
  <c r="E131" i="10"/>
  <c r="F131" i="10"/>
  <c r="G131" i="10"/>
  <c r="Q131" i="10"/>
  <c r="E7" i="10"/>
  <c r="C86" i="10"/>
  <c r="D86" i="10"/>
  <c r="F86" i="10"/>
  <c r="D7" i="10"/>
  <c r="C221" i="10"/>
  <c r="D221" i="10"/>
  <c r="G221" i="10"/>
  <c r="F7" i="10"/>
  <c r="G7" i="10"/>
  <c r="H7" i="10"/>
  <c r="C46" i="4"/>
  <c r="D46" i="4"/>
  <c r="E46" i="4"/>
  <c r="F46" i="4"/>
  <c r="C47" i="4"/>
  <c r="D47" i="4"/>
  <c r="E47" i="4"/>
  <c r="F47" i="4"/>
  <c r="C48" i="4"/>
  <c r="D48" i="4"/>
  <c r="E48" i="4"/>
  <c r="F48" i="4"/>
  <c r="C49" i="4"/>
  <c r="D49" i="4"/>
  <c r="E49" i="4"/>
  <c r="F49" i="4"/>
  <c r="C50" i="4"/>
  <c r="D50" i="4"/>
  <c r="E50" i="4"/>
  <c r="F50" i="4"/>
  <c r="C51" i="4"/>
  <c r="D51" i="4"/>
  <c r="E51" i="4"/>
  <c r="F51" i="4"/>
  <c r="C52" i="4"/>
  <c r="D52" i="4"/>
  <c r="E52" i="4"/>
  <c r="F52" i="4"/>
  <c r="C53" i="4"/>
  <c r="D53" i="4"/>
  <c r="E53" i="4"/>
  <c r="F53" i="4"/>
  <c r="C54" i="4"/>
  <c r="D54" i="4"/>
  <c r="E54" i="4"/>
  <c r="F54" i="4"/>
  <c r="C55" i="4"/>
  <c r="D55" i="4"/>
  <c r="E55" i="4"/>
  <c r="F55" i="4"/>
  <c r="B11" i="7"/>
  <c r="Z75" i="7"/>
  <c r="C79" i="7"/>
  <c r="D31" i="7"/>
  <c r="J31" i="7"/>
  <c r="F31" i="7"/>
  <c r="L31" i="7"/>
  <c r="I31" i="7"/>
  <c r="O31" i="7"/>
  <c r="P31" i="7"/>
  <c r="D30" i="7"/>
  <c r="J30" i="7"/>
  <c r="F30" i="7"/>
  <c r="L30" i="7"/>
  <c r="I30" i="7"/>
  <c r="O30" i="7"/>
  <c r="P30" i="7"/>
  <c r="D29" i="7"/>
  <c r="J29" i="7"/>
  <c r="F29" i="7"/>
  <c r="L29" i="7"/>
  <c r="I29" i="7"/>
  <c r="O29" i="7"/>
  <c r="P29" i="7"/>
  <c r="D25" i="4"/>
  <c r="D24" i="4"/>
  <c r="D23" i="4"/>
  <c r="B41" i="8"/>
  <c r="B40" i="8"/>
  <c r="B39" i="8"/>
  <c r="B38" i="8"/>
  <c r="B37" i="8"/>
  <c r="B36" i="8"/>
  <c r="B35" i="8"/>
  <c r="B34" i="8"/>
  <c r="B33" i="8"/>
  <c r="B32" i="8"/>
  <c r="B31" i="8"/>
  <c r="E176" i="10"/>
  <c r="D67" i="10"/>
  <c r="D64" i="10"/>
  <c r="D63" i="10"/>
  <c r="C176" i="10"/>
  <c r="D176" i="10"/>
  <c r="D78" i="10"/>
  <c r="F176" i="10"/>
  <c r="B8" i="4"/>
  <c r="B7" i="4"/>
  <c r="C15" i="4"/>
  <c r="D15" i="4"/>
  <c r="B30" i="8"/>
  <c r="B29" i="8"/>
  <c r="D16" i="4"/>
  <c r="D17" i="4"/>
  <c r="D18" i="4"/>
  <c r="F28" i="7"/>
  <c r="F22" i="7"/>
  <c r="F27" i="7"/>
  <c r="F25" i="7"/>
  <c r="F26" i="7"/>
  <c r="F24" i="7"/>
  <c r="F23" i="7"/>
  <c r="D28" i="7"/>
  <c r="D22" i="7"/>
  <c r="D26" i="7"/>
  <c r="D23" i="7"/>
  <c r="D24" i="7"/>
  <c r="D27" i="7"/>
  <c r="D25" i="7"/>
  <c r="I23" i="7"/>
  <c r="I24" i="7"/>
  <c r="I27" i="7"/>
  <c r="I25" i="7"/>
  <c r="I22" i="7"/>
  <c r="I26" i="7"/>
  <c r="I28" i="7"/>
  <c r="D19" i="4"/>
  <c r="B28" i="8"/>
  <c r="B27" i="8"/>
  <c r="B26" i="8"/>
  <c r="B25" i="8"/>
  <c r="B24" i="8"/>
  <c r="B23" i="8"/>
  <c r="B22" i="8"/>
  <c r="B21" i="8"/>
  <c r="B20" i="8"/>
  <c r="B19" i="8"/>
  <c r="B18" i="8"/>
  <c r="B17" i="8"/>
  <c r="B16" i="8"/>
  <c r="B15" i="8"/>
  <c r="B14" i="8"/>
  <c r="B13" i="8"/>
  <c r="B12" i="8"/>
  <c r="B11" i="8"/>
  <c r="B10" i="8"/>
  <c r="B9" i="8"/>
  <c r="B8" i="8"/>
  <c r="B7" i="8"/>
  <c r="B6" i="8"/>
  <c r="B5" i="8"/>
  <c r="B4" i="8"/>
  <c r="B3" i="8"/>
  <c r="R60" i="7"/>
  <c r="S60" i="7"/>
  <c r="R61" i="7"/>
  <c r="S61" i="7"/>
  <c r="G86" i="10"/>
  <c r="G176" i="10"/>
  <c r="Q86" i="10"/>
  <c r="Q176" i="10"/>
  <c r="I221" i="10"/>
  <c r="D7" i="9"/>
  <c r="D8" i="9"/>
  <c r="D10" i="9"/>
  <c r="D11" i="9"/>
  <c r="D12" i="9"/>
  <c r="D13" i="9"/>
  <c r="D9" i="9"/>
  <c r="D14" i="9"/>
  <c r="L22" i="7"/>
  <c r="D20" i="4"/>
  <c r="F62" i="7"/>
  <c r="L23" i="7"/>
  <c r="L24" i="7"/>
  <c r="L25" i="7"/>
  <c r="R59" i="7"/>
  <c r="S59" i="7"/>
  <c r="D21" i="4"/>
  <c r="O22" i="7"/>
  <c r="J22" i="7"/>
  <c r="L26" i="7"/>
  <c r="D22" i="4"/>
  <c r="P22" i="7"/>
  <c r="J23" i="7"/>
  <c r="O23" i="7"/>
  <c r="L27" i="7"/>
  <c r="P23" i="7"/>
  <c r="O24" i="7"/>
  <c r="J24" i="7"/>
  <c r="L28" i="7"/>
  <c r="O25" i="7"/>
  <c r="J25" i="7"/>
  <c r="P24" i="7"/>
  <c r="P25" i="7"/>
  <c r="J26" i="7"/>
  <c r="O26" i="7"/>
  <c r="O27" i="7"/>
  <c r="P26" i="7"/>
  <c r="J27" i="7"/>
  <c r="J28" i="7"/>
  <c r="P27" i="7"/>
  <c r="O28" i="7"/>
  <c r="P28" i="7"/>
  <c r="Q127" i="10"/>
  <c r="P127" i="10"/>
  <c r="G127" i="10"/>
  <c r="F127" i="10"/>
  <c r="R51" i="7"/>
  <c r="S51" i="7"/>
  <c r="R52" i="7"/>
  <c r="S52" i="7"/>
  <c r="H46" i="4"/>
  <c r="R53" i="7"/>
  <c r="S53" i="7"/>
  <c r="R54" i="7"/>
  <c r="S54" i="7"/>
  <c r="D172" i="10"/>
  <c r="D262" i="10"/>
  <c r="H47" i="4"/>
  <c r="L217" i="10"/>
  <c r="D217" i="10"/>
  <c r="L127" i="10"/>
  <c r="D127" i="10"/>
  <c r="L172" i="10"/>
  <c r="H48" i="4"/>
  <c r="G217" i="10"/>
  <c r="F217" i="10"/>
  <c r="Q172" i="10"/>
  <c r="P172" i="10"/>
  <c r="I262" i="10"/>
  <c r="H262" i="10"/>
  <c r="F172" i="10"/>
  <c r="Q217" i="10"/>
  <c r="P217" i="10"/>
  <c r="R55" i="7"/>
  <c r="S55" i="7"/>
  <c r="H49" i="4"/>
  <c r="G172" i="10"/>
  <c r="R56" i="7"/>
  <c r="S56" i="7"/>
  <c r="H50" i="4"/>
  <c r="I62" i="7"/>
  <c r="D62" i="7"/>
  <c r="R50" i="7"/>
  <c r="S50" i="7"/>
  <c r="R57" i="7"/>
  <c r="S57" i="7"/>
  <c r="H51" i="4"/>
  <c r="R58" i="7"/>
  <c r="S58" i="7"/>
  <c r="H52" i="4"/>
  <c r="H53" i="4"/>
  <c r="E19" i="2"/>
  <c r="H54" i="4"/>
  <c r="E18" i="2"/>
  <c r="H55" i="4"/>
  <c r="D19" i="2"/>
  <c r="D18" i="2"/>
</calcChain>
</file>

<file path=xl/sharedStrings.xml><?xml version="1.0" encoding="utf-8"?>
<sst xmlns="http://schemas.openxmlformats.org/spreadsheetml/2006/main" count="1405" uniqueCount="727">
  <si>
    <t>7% Discount Rate</t>
  </si>
  <si>
    <t>Benefit Cost Analysis</t>
  </si>
  <si>
    <t>Summary Matrix</t>
  </si>
  <si>
    <t>Current Status/Baseline and problem to be addressed</t>
  </si>
  <si>
    <t>Change to Baseline/Alternatives</t>
  </si>
  <si>
    <t>Types of Impacts</t>
  </si>
  <si>
    <t>Affected Population</t>
  </si>
  <si>
    <t>Areas for Monetized 
Economic Benefit</t>
  </si>
  <si>
    <t>Summary of Results</t>
  </si>
  <si>
    <t>Oglala Sioux Tribe</t>
  </si>
  <si>
    <t>BIA 2 Rural Safety and Regional Access Project</t>
  </si>
  <si>
    <t>Areas of Evaluation</t>
  </si>
  <si>
    <t>Description</t>
  </si>
  <si>
    <t>Inputs</t>
  </si>
  <si>
    <t>Monetized Value
Discount Rate 7%</t>
  </si>
  <si>
    <t>Economic Competitiveness</t>
  </si>
  <si>
    <t>Travel Time Savings</t>
  </si>
  <si>
    <t>Safety</t>
  </si>
  <si>
    <t>State of Good Repair</t>
  </si>
  <si>
    <t>Total Cost</t>
  </si>
  <si>
    <t>Total Benefits</t>
  </si>
  <si>
    <t>Net Present Value</t>
  </si>
  <si>
    <t>Benefit Cost Ratio</t>
  </si>
  <si>
    <t>Costs</t>
  </si>
  <si>
    <t>Crash Reduction Savings</t>
  </si>
  <si>
    <t>Calendar Year</t>
  </si>
  <si>
    <t>Project Year</t>
  </si>
  <si>
    <t>Annual Savings in Constant Dollars</t>
  </si>
  <si>
    <t>Present Value of Savings (dollars)
(7% discount rate)</t>
  </si>
  <si>
    <t>Days per year</t>
  </si>
  <si>
    <t>Total Reduction Factor</t>
  </si>
  <si>
    <t>Average Number of Fatalities per Year</t>
  </si>
  <si>
    <t>Annual Value of Property Damage Only</t>
  </si>
  <si>
    <t>Annual Value of Fatality</t>
  </si>
  <si>
    <t>Value of Property Damage Only per Year/Average Annual Traffic</t>
  </si>
  <si>
    <t>Value of Fatalities per Year/Average Annual Traffic</t>
  </si>
  <si>
    <t xml:space="preserve">Average Annual Traffic </t>
  </si>
  <si>
    <t>Average Annual Property Damage Only Accidents</t>
  </si>
  <si>
    <t xml:space="preserve">Value of Annual Property Damage Only </t>
  </si>
  <si>
    <t>Annual Accident Savings</t>
  </si>
  <si>
    <t>Annual Accident Savings
7% discount</t>
  </si>
  <si>
    <t>Property Damage Only</t>
  </si>
  <si>
    <t>Total Value of Injuries</t>
  </si>
  <si>
    <t>Years Analyzed</t>
  </si>
  <si>
    <t>years</t>
  </si>
  <si>
    <t>Average annual value of injuries</t>
  </si>
  <si>
    <t>Flatten side slopes</t>
  </si>
  <si>
    <t>Total Crash Reduction Factor Benefits</t>
  </si>
  <si>
    <t>Average Number of Property Damage Only per Year</t>
  </si>
  <si>
    <t>K</t>
  </si>
  <si>
    <t>A</t>
  </si>
  <si>
    <t>B</t>
  </si>
  <si>
    <t>C</t>
  </si>
  <si>
    <t>O</t>
  </si>
  <si>
    <t>Killed</t>
  </si>
  <si>
    <t>No Injury</t>
  </si>
  <si>
    <t>Possible Injury</t>
  </si>
  <si>
    <t>Non-incapacitating</t>
  </si>
  <si>
    <t>Incapacitating</t>
  </si>
  <si>
    <t>MAINTENANCE OF TRAFFIC</t>
  </si>
  <si>
    <t>LS</t>
  </si>
  <si>
    <t>MOBILIZATION</t>
  </si>
  <si>
    <t>009E3200</t>
  </si>
  <si>
    <t>CONSTRUCTION STAKING</t>
  </si>
  <si>
    <t>CLEARING</t>
  </si>
  <si>
    <t>REMOVE TRAFFIC SIGN</t>
  </si>
  <si>
    <t>EACH</t>
  </si>
  <si>
    <t>REMOVE DELINEATOR</t>
  </si>
  <si>
    <t>REMOVE CONCRETE CURB AND/OR GUTTER</t>
  </si>
  <si>
    <t>FT</t>
  </si>
  <si>
    <t>110E0500</t>
  </si>
  <si>
    <t>REMOVE PIPE CULVERT</t>
  </si>
  <si>
    <t>110E0550</t>
  </si>
  <si>
    <t>REMOVE CATTLE GUARD</t>
  </si>
  <si>
    <t>110E0570</t>
  </si>
  <si>
    <t>REMOVE FENCE POST</t>
  </si>
  <si>
    <t>110E0600</t>
  </si>
  <si>
    <t>REMOVE FENCE</t>
  </si>
  <si>
    <t>110E0730</t>
  </si>
  <si>
    <t>REMOVE BEAM GUARDRAIL</t>
  </si>
  <si>
    <t>110E1010</t>
  </si>
  <si>
    <t>REMOVE ASPHALT CONCRETE PAVEMENT</t>
  </si>
  <si>
    <t>SQYD</t>
  </si>
  <si>
    <t>110E1100</t>
  </si>
  <si>
    <t>REMOVE CONCRETE PAVEMENT</t>
  </si>
  <si>
    <t>110E1130</t>
  </si>
  <si>
    <t>REMOVE CONCRETE DRIVEWAY PAVEMENT</t>
  </si>
  <si>
    <t>110E1140</t>
  </si>
  <si>
    <t>REMOVE CONCRETE SIDEWALK</t>
  </si>
  <si>
    <t>110E7040</t>
  </si>
  <si>
    <t>REMOVE GATE FOR RESET</t>
  </si>
  <si>
    <t>UNCLASSIFIED EXCAVATION</t>
  </si>
  <si>
    <t>CUYD</t>
  </si>
  <si>
    <t>120E1000</t>
  </si>
  <si>
    <t>MUCK EXCAVATION</t>
  </si>
  <si>
    <t>120E6400</t>
  </si>
  <si>
    <t>WATER</t>
  </si>
  <si>
    <t>MGAL</t>
  </si>
  <si>
    <t>PLACING TOPSOIL</t>
  </si>
  <si>
    <t>260E1010</t>
  </si>
  <si>
    <t>BASE COURSE</t>
  </si>
  <si>
    <t>TON</t>
  </si>
  <si>
    <t>260E1210</t>
  </si>
  <si>
    <t>BASE COURSE FOR CULVERT BEDDING</t>
  </si>
  <si>
    <t>260E3010</t>
  </si>
  <si>
    <t>GRAVEL SURFACING</t>
  </si>
  <si>
    <t>260E3050</t>
  </si>
  <si>
    <t>SURFACING, SALVAGED ASPHALT AND GRANULAR BASE MIX</t>
  </si>
  <si>
    <t>320E1200</t>
  </si>
  <si>
    <t>ASPHALT CONCRETE COMPOSITE</t>
  </si>
  <si>
    <t>320E7012</t>
  </si>
  <si>
    <t>GRIND 12" RUMBLE STRIP IN ASPHALT CONCRETE</t>
  </si>
  <si>
    <t>MILE</t>
  </si>
  <si>
    <t>380E4050</t>
  </si>
  <si>
    <t>8" PCC FILLET SECTION</t>
  </si>
  <si>
    <t>PIPE CULVERT UNDERCUT</t>
  </si>
  <si>
    <t>BOX CULVERT UNDERCUT</t>
  </si>
  <si>
    <t>SMALL AND MEDIUM RCP CULVERTS</t>
  </si>
  <si>
    <t>450E8900</t>
  </si>
  <si>
    <t>PIPE ENCASEMENT</t>
  </si>
  <si>
    <t>10'X10'PRECAST CONCRETE BOX CULVERT, FURNISH</t>
  </si>
  <si>
    <t>10'X10'PRECAST CONCRETE BOX CULVERT, INSTALL</t>
  </si>
  <si>
    <t>560E1142</t>
  </si>
  <si>
    <t>10'X10'PRECAST CONCRETE BOX CULVERT END SECTION, FURNISH</t>
  </si>
  <si>
    <t>560E1143</t>
  </si>
  <si>
    <t>10'X10'PRECAST CONCRETE BOX CULVERT END SECTION, INSTALL</t>
  </si>
  <si>
    <t>560E2178</t>
  </si>
  <si>
    <t>2-12'X12'PRECAST CONCRETE BOX CULVERT, FURNISH</t>
  </si>
  <si>
    <t>560E2179</t>
  </si>
  <si>
    <t>2-12'X12'PRECAST CONCRETE BOX CULVERT, INSTALL</t>
  </si>
  <si>
    <t>560E3178</t>
  </si>
  <si>
    <t>2-12'X12'PRECAST CONCRETE BOX CULVERT END SECTION, FURNISH</t>
  </si>
  <si>
    <t>560E3179</t>
  </si>
  <si>
    <t>2-12'X12'PRECAST CONCRETE BOX CULVERT END SECTION, INSTALL</t>
  </si>
  <si>
    <t>24' CATTLE GUARD WITH WINGS</t>
  </si>
  <si>
    <t>30' CATTLE GUARD WITH WINGS</t>
  </si>
  <si>
    <t>TYPE 2 RIGHT-OF-WAY FENCE</t>
  </si>
  <si>
    <t>620E0510</t>
  </si>
  <si>
    <t>TYPE 1 TEMPORARY FENCE</t>
  </si>
  <si>
    <t>620E1020</t>
  </si>
  <si>
    <t>2 POST PANEL</t>
  </si>
  <si>
    <t>620E1030</t>
  </si>
  <si>
    <t>3 POST PANEL</t>
  </si>
  <si>
    <t>620E2016</t>
  </si>
  <si>
    <t>16' TUBULAR GATE</t>
  </si>
  <si>
    <t>620E2100</t>
  </si>
  <si>
    <t>RESET GATE</t>
  </si>
  <si>
    <t>632E1320</t>
  </si>
  <si>
    <t>2.0" X 2.0" PERFORATED TUBE POST</t>
  </si>
  <si>
    <t>632E1510</t>
  </si>
  <si>
    <t>6" X 6" WOOD POST</t>
  </si>
  <si>
    <t>ENGINEER'S PROBABLE CONSTRUCTION COST (20.7 MILES)</t>
  </si>
  <si>
    <t>TOTAL COSTS</t>
  </si>
  <si>
    <t>ITEM NUMBER</t>
  </si>
  <si>
    <t>ITEM</t>
  </si>
  <si>
    <t>QUANTITY</t>
  </si>
  <si>
    <t>UNIT</t>
  </si>
  <si>
    <t>Passengers per vehicle</t>
  </si>
  <si>
    <t>Hourly Value of Travel Time</t>
  </si>
  <si>
    <t>Annual growth rate</t>
  </si>
  <si>
    <t>miles per hour</t>
  </si>
  <si>
    <t>Hourly Value of Travel Time (trucks)</t>
  </si>
  <si>
    <t>Traffic per day</t>
  </si>
  <si>
    <t>Annual Traffic Count</t>
  </si>
  <si>
    <t>Length of Project</t>
  </si>
  <si>
    <t>miles</t>
  </si>
  <si>
    <t>Base Condition Travel Time
(hours/year)</t>
  </si>
  <si>
    <t>Preferred Alternative Travel Time
(hours/year)</t>
  </si>
  <si>
    <t>Travel Time Savings
(hours/year)</t>
  </si>
  <si>
    <t>004E0040</t>
  </si>
  <si>
    <t>009E0010</t>
  </si>
  <si>
    <t>100E0100</t>
  </si>
  <si>
    <t>110E0130</t>
  </si>
  <si>
    <t>110E0135</t>
  </si>
  <si>
    <t>110E0300</t>
  </si>
  <si>
    <t>120E0010</t>
  </si>
  <si>
    <t>230E0010</t>
  </si>
  <si>
    <t>270E0040</t>
  </si>
  <si>
    <t>SALVAGE AND STOCKPILE ASPHALT MIX AND GRANULAR BASE MATERIAL</t>
  </si>
  <si>
    <t>421E0100</t>
  </si>
  <si>
    <t>421E0200</t>
  </si>
  <si>
    <t>450E0000</t>
  </si>
  <si>
    <t>451E0301</t>
  </si>
  <si>
    <t>560E0142</t>
  </si>
  <si>
    <t>560E0143</t>
  </si>
  <si>
    <t>610E0124</t>
  </si>
  <si>
    <t>610E0130</t>
  </si>
  <si>
    <t>620E0020</t>
  </si>
  <si>
    <t>632E1650</t>
  </si>
  <si>
    <t>NO PASSING ZONE REFERENCE POST</t>
  </si>
  <si>
    <t>632E1700</t>
  </si>
  <si>
    <t>MILEPOST - NON-INTERSTATE MILEAGE REFERENCE MARKER</t>
  </si>
  <si>
    <t>632E2022</t>
  </si>
  <si>
    <t>4" x 4" WHITE DELINEATOR BACK TO BACK WITH 1.12 LB/FT POST</t>
  </si>
  <si>
    <t>632E2207</t>
  </si>
  <si>
    <t>4" TUBULAR WHITE DELINEATOR REFLECTOR</t>
  </si>
  <si>
    <t>632E2510</t>
  </si>
  <si>
    <t>TYPE 2 OBJECT MARKER BACK TO BACK</t>
  </si>
  <si>
    <t>632E3203</t>
  </si>
  <si>
    <t>FLAT ALUMINUM SIGN, NONREMOVABLE COPY HIGH INTENSITY</t>
  </si>
  <si>
    <t>SQFT</t>
  </si>
  <si>
    <t>632E3520</t>
  </si>
  <si>
    <t>REMOVE, SALVAGE, RELOCATE, AND RESET TRAFFIC SIGN</t>
  </si>
  <si>
    <t>633E0010</t>
  </si>
  <si>
    <t>COLD APPLIED PLASTIC PAVEMENT MARKING, 4"</t>
  </si>
  <si>
    <t>633E0030</t>
  </si>
  <si>
    <t>COLD APPLIED PLASTIC PAVEMENT MARKING, 24"</t>
  </si>
  <si>
    <t>633E1300</t>
  </si>
  <si>
    <t>PAVEMENT MARKING PAINT, WHITE</t>
  </si>
  <si>
    <t>GAL</t>
  </si>
  <si>
    <t>633E1305</t>
  </si>
  <si>
    <t>PAVEMENT MARKING PAINT, YELLOW</t>
  </si>
  <si>
    <t>633E5000</t>
  </si>
  <si>
    <t>GROOVING FOR COLD APPLIED PLASTIC PAVEMENT MARKING, 4"</t>
  </si>
  <si>
    <t>633E5015</t>
  </si>
  <si>
    <t>GROOVING FOR COLD APPLIED PLASTIC PAVEMENT MARKING, 24"</t>
  </si>
  <si>
    <t>634E0010</t>
  </si>
  <si>
    <t>FLAGGING</t>
  </si>
  <si>
    <t>HOUR</t>
  </si>
  <si>
    <t>634E0020</t>
  </si>
  <si>
    <t>PILOT CAR</t>
  </si>
  <si>
    <t>634E0110</t>
  </si>
  <si>
    <t>TRAFFIC CONTROL SIGNS</t>
  </si>
  <si>
    <t>634E0120</t>
  </si>
  <si>
    <t>TRAFFIC CONTROL, MISCELLANEOUS</t>
  </si>
  <si>
    <t>634E0260</t>
  </si>
  <si>
    <t>TYPE 3 BARRICADE, 6' SINGLE SIDED</t>
  </si>
  <si>
    <t>634E0630</t>
  </si>
  <si>
    <t>TEMPORARY PAVEMENT MARKING</t>
  </si>
  <si>
    <t>650E0060</t>
  </si>
  <si>
    <t>TYPE B66 CONCRETE CURB AND GUTTER</t>
  </si>
  <si>
    <t>650E4660</t>
  </si>
  <si>
    <t>TYPE P6 CONCRETE GUTTER</t>
  </si>
  <si>
    <t>650E6080</t>
  </si>
  <si>
    <t>8" CONCRETE VALLEY GUTTER</t>
  </si>
  <si>
    <t>651E0040</t>
  </si>
  <si>
    <t>4" CONCRETE SIDEWALK</t>
  </si>
  <si>
    <t>651E7000</t>
  </si>
  <si>
    <t>TYPE 1 DETECTABLE WARNINGS</t>
  </si>
  <si>
    <t>670E1010</t>
  </si>
  <si>
    <t>2' X 3' TYPE B INLET</t>
  </si>
  <si>
    <t>670E1030</t>
  </si>
  <si>
    <t>5.5' X 3' TYPE B INLET</t>
  </si>
  <si>
    <t>720E1015</t>
  </si>
  <si>
    <t>BANK AND CHANNEL PROTECTION GABION</t>
  </si>
  <si>
    <t>730E0200</t>
  </si>
  <si>
    <t>TYPE A PERMANENT SEED MIXTURE</t>
  </si>
  <si>
    <t>LB</t>
  </si>
  <si>
    <t>730E0251</t>
  </si>
  <si>
    <t>SPECIAL PERMANENT SEED MIXTURE 1 (WETLAND)</t>
  </si>
  <si>
    <t>731E0200</t>
  </si>
  <si>
    <t>FERTILIZING</t>
  </si>
  <si>
    <t>732E0100</t>
  </si>
  <si>
    <t>MULCHING</t>
  </si>
  <si>
    <t>734E0103</t>
  </si>
  <si>
    <t>TYPE 3 EROSION CONTROL BLANKET</t>
  </si>
  <si>
    <t>734E0154</t>
  </si>
  <si>
    <t>12" DIAMETER EROSION CONTROL WATTLE</t>
  </si>
  <si>
    <t>734E0400</t>
  </si>
  <si>
    <t>ROCK CHECK DAM</t>
  </si>
  <si>
    <t>734E0845</t>
  </si>
  <si>
    <t>SEDIMENT CONTROL AT TYPE B INLET WITH FRAME AND GRATE</t>
  </si>
  <si>
    <t>831E0110</t>
  </si>
  <si>
    <t>TYPE B DRAINAGE FABRIC</t>
  </si>
  <si>
    <t>831E0200</t>
  </si>
  <si>
    <t>WOVEN SEPARATOR FABRIC</t>
  </si>
  <si>
    <t>831E1010</t>
  </si>
  <si>
    <t>BIAXIAL GEOGRID REINFORCEMENT FOR CULVERTS</t>
  </si>
  <si>
    <t>900E0010</t>
  </si>
  <si>
    <t>REFURBISH SINGLE MAILBOX</t>
  </si>
  <si>
    <t>900E1080</t>
  </si>
  <si>
    <t>ORANGE PLASTIC SAFETY FENCE</t>
  </si>
  <si>
    <t>900E1350</t>
  </si>
  <si>
    <t>TEMPORARY SURFACING</t>
  </si>
  <si>
    <t>900E9999</t>
  </si>
  <si>
    <t>CONTRACTOR TESTING</t>
  </si>
  <si>
    <t>Cost Category</t>
  </si>
  <si>
    <t>Factor</t>
  </si>
  <si>
    <t>Remaining Value in Constant Dollars</t>
  </si>
  <si>
    <t>Present Value of Total Remaining Capital Value</t>
  </si>
  <si>
    <t xml:space="preserve">Remaining Capital Value </t>
  </si>
  <si>
    <t>Grading/seeding (100 year useful life)</t>
  </si>
  <si>
    <t>Culvert (100 year useful life)</t>
  </si>
  <si>
    <t>Asphalt (40 year useful life)</t>
  </si>
  <si>
    <t>Base course (100 year useful life)</t>
  </si>
  <si>
    <t>Install guideposts or barrier reflectors</t>
  </si>
  <si>
    <t>Base Condition Posted Speed Limit</t>
  </si>
  <si>
    <t>Preferred Alternative Posted Speed Limit</t>
  </si>
  <si>
    <t>1 mile</t>
  </si>
  <si>
    <t>Emergency Response</t>
  </si>
  <si>
    <t>Source:  https://www.hudexchange.info/course-content/ndrc-nofa-benefit-cost-analysis-data-resources-and-expert-tips-webinar/FEMA-BCAR-Resource.pdf</t>
  </si>
  <si>
    <t>minutes</t>
  </si>
  <si>
    <t>Increase in response time without perferred alternative</t>
  </si>
  <si>
    <t>National Average Response Time</t>
  </si>
  <si>
    <t>Population Served</t>
  </si>
  <si>
    <t>Number of cardiac arrests per year treated by EMS</t>
  </si>
  <si>
    <t>Survival probability with preferred alternative</t>
  </si>
  <si>
    <t>Survival probability without preferred alternative</t>
  </si>
  <si>
    <t>Number of deaths per year due to cardiac arrest with perferred alternative</t>
  </si>
  <si>
    <t>Number of deaths per year due to cardiac arrest without perferred alternative</t>
  </si>
  <si>
    <t>Increase in the number of deaths from cardiac arrests due to the increased EMS response time</t>
  </si>
  <si>
    <t>Value of Statistical Life</t>
  </si>
  <si>
    <t>Cost in lives per day due to the increased EMS response time</t>
  </si>
  <si>
    <t>cost per day</t>
  </si>
  <si>
    <t>Response time with preferred alternative</t>
  </si>
  <si>
    <t>Response time under current conditions</t>
  </si>
  <si>
    <t xml:space="preserve">minutes
current emergency response time from Pine Ridge to Wanblee via US 18 to SD 73 and back track to Wanblee on SD 44 = 90.6 miles </t>
  </si>
  <si>
    <t xml:space="preserve">minutes
emergency response can travel from Pine Ridge to BIA 27 and BIA 2 to SD 44 and Wanblee which would be the preferred route =  83 miles </t>
  </si>
  <si>
    <t>Emergency Response Savings</t>
  </si>
  <si>
    <t>Reduction in 689,312 motor vehicle hours traveled (VHT)</t>
  </si>
  <si>
    <t>Envrionmental Savings</t>
  </si>
  <si>
    <t>CO2 savings</t>
  </si>
  <si>
    <t>NOx  Savings</t>
  </si>
  <si>
    <t>VOC  Savings</t>
  </si>
  <si>
    <t>Total Present Value Emissions Savings</t>
  </si>
  <si>
    <t>Total Present Value Emissions Savings
(7% discount)</t>
  </si>
  <si>
    <t>References</t>
  </si>
  <si>
    <t>Source</t>
  </si>
  <si>
    <t>VOC grams/hour</t>
  </si>
  <si>
    <t>LDGT vehicle type referenced
https://nepis.epa.gov/Exe/ZyPDF.cgi/P100EVXV.PDF?Dockey=P100EVXV.PDF</t>
  </si>
  <si>
    <t>NOx grams/hour</t>
  </si>
  <si>
    <t>Average Age of Automobiles in US</t>
  </si>
  <si>
    <t>Average Age of Automobiles and Trucks in Operation in the United States (in years)</t>
  </si>
  <si>
    <t>National average fuel consumption per mile (MPG)</t>
  </si>
  <si>
    <t>Average Fuel Efficiency of U.S. Light Duty Vehicles
Average Age of Automobiles and Trucks in Operation in the United States</t>
  </si>
  <si>
    <t>National average fuel consumption per mile (MPG) - Trucks</t>
  </si>
  <si>
    <t>CO2 produced per gallon of fuel</t>
  </si>
  <si>
    <t>lbs.</t>
  </si>
  <si>
    <t>1 lbs. = 453.59237 grams</t>
  </si>
  <si>
    <t>1 gram = .000001 metric tons</t>
  </si>
  <si>
    <t>1 gram = .000001 short tons</t>
  </si>
  <si>
    <t>1 metric ton = 1.1015 short tons</t>
  </si>
  <si>
    <t>Life of project (years)</t>
  </si>
  <si>
    <t>Annual Growth Rate</t>
  </si>
  <si>
    <t>Trips per day</t>
  </si>
  <si>
    <t>Cars/Personal</t>
  </si>
  <si>
    <t>Trucks</t>
  </si>
  <si>
    <t>VOC $/short ton</t>
  </si>
  <si>
    <t>CO2 $/metric ton</t>
  </si>
  <si>
    <t>NOx $/short ton</t>
  </si>
  <si>
    <t>PMs $/short ton</t>
  </si>
  <si>
    <t>Average In-Use Emission Rates for Heavy-Duty Vehicles</t>
  </si>
  <si>
    <t>Conversion based on assumed rate of speed</t>
  </si>
  <si>
    <t>VOC</t>
  </si>
  <si>
    <t>grams per mile</t>
  </si>
  <si>
    <t>grams per hour</t>
  </si>
  <si>
    <t>CO</t>
  </si>
  <si>
    <t>NOx</t>
  </si>
  <si>
    <t>PM</t>
  </si>
  <si>
    <t>grams per mile 
(PM2.5+PM10)</t>
  </si>
  <si>
    <t>CO2</t>
  </si>
  <si>
    <t>grams per mile, U.S. Carbon Dioxide Emissions from Energy Use by Sector</t>
  </si>
  <si>
    <t>Source: EPA Average In-Use Emissions from Heavy-Duty Trucks - Emission Facts</t>
  </si>
  <si>
    <t>Reduction in VHT
(vehicle hours/year)</t>
  </si>
  <si>
    <t>NOx Reduced
(short tons)</t>
  </si>
  <si>
    <t>Value per NOx 
short ton</t>
  </si>
  <si>
    <t>VOC Reduced
(short tons)</t>
  </si>
  <si>
    <t>Value per VOC 
short ton</t>
  </si>
  <si>
    <t>CO2 Reduced
metric tons</t>
  </si>
  <si>
    <t>Value per CO2 
metric ton</t>
  </si>
  <si>
    <t>Increased rate of travel between base condition and preferred alternative</t>
  </si>
  <si>
    <t>Gasoline consumed per hour idling</t>
  </si>
  <si>
    <t>gallons</t>
  </si>
  <si>
    <t>Fuel consumption reference</t>
  </si>
  <si>
    <t>Value per PM 
short ton</t>
  </si>
  <si>
    <t>PM  Savings</t>
  </si>
  <si>
    <t>Reduced Pollution</t>
  </si>
  <si>
    <t>↓ Emergency response times</t>
  </si>
  <si>
    <t xml:space="preserve">↓ Emissions </t>
  </si>
  <si>
    <t>Tribal members
Property owners</t>
  </si>
  <si>
    <t>Travel Time Savings tab</t>
  </si>
  <si>
    <t>Emergency Response Savings tab</t>
  </si>
  <si>
    <t>Crash Reduction Savings tab</t>
  </si>
  <si>
    <t>Environmental Savings tab</t>
  </si>
  <si>
    <t>Reference in BCA</t>
  </si>
  <si>
    <t>Passenger users, commercial users, ag users, tourists</t>
  </si>
  <si>
    <t>Passenger users, commercial users, ag users, property owners, tourists</t>
  </si>
  <si>
    <t xml:space="preserve"> ESTIMATED CONSTRUCTION COST</t>
  </si>
  <si>
    <t>TOTAL ESTIMATED CONSTRUCTION COST</t>
  </si>
  <si>
    <t>TOTAL ESTIMATED PROJECT COST</t>
  </si>
  <si>
    <t>Total Value of Annual Property Damage/ Injuries/Fatalities</t>
  </si>
  <si>
    <t>population of Wanblee, SD</t>
  </si>
  <si>
    <t>12' lanes, full project</t>
  </si>
  <si>
    <t>Full project</t>
  </si>
  <si>
    <t>19.7 miles of project</t>
  </si>
  <si>
    <t>Improve horizontal and vertical alignments</t>
  </si>
  <si>
    <t>2019 OSTDOT traffic counts</t>
  </si>
  <si>
    <t>Total Benefits During 30-Year Analysis Period</t>
  </si>
  <si>
    <t>85.5% non-truck</t>
  </si>
  <si>
    <t>14.5% truck</t>
  </si>
  <si>
    <t>All Purposes
85.5% per OSTDOT 2020 analysis</t>
  </si>
  <si>
    <t>14.5% per OSTDOT 2020 analysis</t>
  </si>
  <si>
    <t>Miles</t>
  </si>
  <si>
    <t>rural miles</t>
  </si>
  <si>
    <t>Average Daily Traffic (2019)</t>
  </si>
  <si>
    <t>Average Annual Traffic (2019)</t>
  </si>
  <si>
    <t>2008-2018</t>
  </si>
  <si>
    <t>Pedestrian Crash Reduction Factors</t>
  </si>
  <si>
    <t>Install Rapid Flashing Beacon</t>
  </si>
  <si>
    <t>CMF</t>
  </si>
  <si>
    <t>Install high-visibility crosswalk</t>
  </si>
  <si>
    <t>% Pedestrians Impacted</t>
  </si>
  <si>
    <t>Weighted CMF</t>
  </si>
  <si>
    <t>Install sidewalk (to avoid walking along roadway)</t>
  </si>
  <si>
    <t>sidewalk along north curb &amp; gutter</t>
  </si>
  <si>
    <t>Convert two-way to all-way STOP control</t>
  </si>
  <si>
    <t>BIA 2, BIA 4, School intersection</t>
  </si>
  <si>
    <t>80% Pedestrians</t>
  </si>
  <si>
    <t>95% Pedestrians</t>
  </si>
  <si>
    <t>Kyle Pedestrians</t>
  </si>
  <si>
    <t>Rural BIA 2 Pedestrians</t>
  </si>
  <si>
    <t>Add intersection lighting</t>
  </si>
  <si>
    <t>Improve lighting at intersections</t>
  </si>
  <si>
    <t>Install School zone warning signs</t>
  </si>
  <si>
    <t>Kyle Intersections</t>
  </si>
  <si>
    <t>Little Wound School</t>
  </si>
  <si>
    <t>Provide paved shoulder (of at least 4 feet) (to avoid walking along roadway)</t>
  </si>
  <si>
    <t>19.7 miles</t>
  </si>
  <si>
    <t>Improve /install pedestrian crossing</t>
  </si>
  <si>
    <t>paved, 4 ft, 19.7 miles</t>
  </si>
  <si>
    <t>Lengthen culverts</t>
  </si>
  <si>
    <t>Widen shoulder (paved) (from 0 to 4 ft)</t>
  </si>
  <si>
    <t>Install delineators (general)</t>
  </si>
  <si>
    <t>Install or upgrade curbing</t>
  </si>
  <si>
    <t>Pedestrian Crash Total Reduction Factor</t>
  </si>
  <si>
    <t>Current conditions along the 20.7 mile stretch of BIA 2 from Kyle to SD Highway 44 make this route a hazard for travelers. Limited visibility, no shoulders, and the poor road condition create safety concerns, time delays, and slowed emergency response times.  Limited sidewalk, inadequate lighting, and uncontrolled intersections existing in Kyle.</t>
  </si>
  <si>
    <t>Passenger users, commercial users, ag users, pedestrians/ bicyclists, tourists</t>
  </si>
  <si>
    <t xml:space="preserve">↓ Motor vehicle miles traveled
↓ Travel time costs
↓ Delay time  </t>
  </si>
  <si>
    <t>↓ Accidents due to unsafe road                    ↓ Accidents due to weather</t>
  </si>
  <si>
    <t>↓Reduced emissions</t>
  </si>
  <si>
    <t>↓ Response time from EMS units</t>
  </si>
  <si>
    <t xml:space="preserve">↓ Delay times
↓ Motor vehicle hours traveled
</t>
  </si>
  <si>
    <t>ESTIMATED            BID PRICE</t>
  </si>
  <si>
    <t>332E0010</t>
  </si>
  <si>
    <t>COLD MILLING ASPHALT CONCRETE</t>
  </si>
  <si>
    <t>BRIDGE REMOVAL AND REPLACE WITH BOX CULVERT *</t>
  </si>
  <si>
    <t>635E0000</t>
  </si>
  <si>
    <t>ROADWAY AND PATHWAY LIGHTING</t>
  </si>
  <si>
    <t>635E0100</t>
  </si>
  <si>
    <t>PEDESTRIAN FLASHING BEACONS</t>
  </si>
  <si>
    <t>635E0200</t>
  </si>
  <si>
    <t>REMOTE WEATHER MONITORING STATION **</t>
  </si>
  <si>
    <t>831E1020</t>
  </si>
  <si>
    <t>TRIAXIAL GEOGRID REINFORCEMENT FOR ROAD STRUCTURE</t>
  </si>
  <si>
    <t>CONSTRUCTION OBSERVATION 3%</t>
  </si>
  <si>
    <t>QUANTITIES AND COSTS ARE BASED ON DESIGN QUANTITIES AND ACTUAL BID COSTS FOR SIMILAR RECENT PROJECT NEAR THIS PROJECT</t>
  </si>
  <si>
    <t>*     REFERENCE POTATO CREEK BRIDGE A028 COST ESTIMATE</t>
  </si>
  <si>
    <t>**   COST BASED ON AVERAGE OF USDOT UNIT COST ENTRIES FOR ENVIRONMENTAL SENSING STATION (WEATHER STATION)</t>
  </si>
  <si>
    <t>DESIGN ENGINEERING 4%</t>
  </si>
  <si>
    <t>Present Value of Remaining Capital ($) (2058)
7% discount</t>
  </si>
  <si>
    <t>Initial Capital Costs in Constant Dollars (2018)</t>
  </si>
  <si>
    <t>Asset Life at the end of the 30-year project analysis period</t>
  </si>
  <si>
    <t>TOTAL ESTIMATED CONSTRUCTION COST =</t>
  </si>
  <si>
    <t>TOTAL ESTIMATED PROJECT COST =</t>
  </si>
  <si>
    <t>Benefit Cost Analysis - No Build</t>
  </si>
  <si>
    <t>Maintenance Costs</t>
  </si>
  <si>
    <t>ENGINEER'S PROBABLE CONSTRUCTION COST (19.7 MILES)</t>
  </si>
  <si>
    <t>320E1212</t>
  </si>
  <si>
    <t>ASPHALT CONCRETE COMPOSITE FOR APPROACHES</t>
  </si>
  <si>
    <t>320E7028</t>
  </si>
  <si>
    <t>GRIND CENTERLINE RUMBLE STRIPE IN ASPHALT CONCRETE</t>
  </si>
  <si>
    <t>734E0151</t>
  </si>
  <si>
    <t>9" DIAMETER EROSION CONTROL WATTLE</t>
  </si>
  <si>
    <t>900E2490</t>
  </si>
  <si>
    <t>BLADING</t>
  </si>
  <si>
    <t>999E9999</t>
  </si>
  <si>
    <t xml:space="preserve"> ESTIMATED CONSTRUCTION COST =</t>
  </si>
  <si>
    <t xml:space="preserve">CONSTRUCTION OBSERVATION 2% = </t>
  </si>
  <si>
    <t xml:space="preserve">DESIGN ENGINEERING 2% = </t>
  </si>
  <si>
    <t>PAVEMENT MANAGEMENT - BIA 2 - KYLE TO SD HWY 44 - NO BUILD SCENERIO</t>
  </si>
  <si>
    <t>330E0300</t>
  </si>
  <si>
    <t>SS-Ih OR CSS-1h ASPHALT FOR FOG SEAL</t>
  </si>
  <si>
    <t>330E3000</t>
  </si>
  <si>
    <t>SAND FOR FOG SEAL</t>
  </si>
  <si>
    <t>350E0010</t>
  </si>
  <si>
    <t>ASPHALT CONCRETE CRACK SEALING</t>
  </si>
  <si>
    <t>360E0020</t>
  </si>
  <si>
    <t>AE 150S ASPHALT FOR SURFACE TREATMENT</t>
  </si>
  <si>
    <t>360E1030</t>
  </si>
  <si>
    <t>TYPE 2A COVER AGGREGATE</t>
  </si>
  <si>
    <t xml:space="preserve">CONSTRUCTION OBSERVATION 4% = </t>
  </si>
  <si>
    <t xml:space="preserve">DESIGN ENGINEERING 4% = </t>
  </si>
  <si>
    <t>Deferred Maintenance</t>
  </si>
  <si>
    <t>Costs of maintaining existing roadway that will no longer be required. Costs for maintaining implemented project have been included in the total cost calculation.</t>
  </si>
  <si>
    <t>Existing Paved Road Maintenance</t>
  </si>
  <si>
    <t>Overlay</t>
  </si>
  <si>
    <t>Estimated Total Maintenance Cost per Year</t>
  </si>
  <si>
    <t>Analysis Period (years)</t>
  </si>
  <si>
    <t>Estimated Total Maintenance Cost for Analysis Period</t>
  </si>
  <si>
    <t>Crack Sealing and Chip Seal</t>
  </si>
  <si>
    <t>Initial Maintenance Cost 2022 - Crack and Chip Seal</t>
  </si>
  <si>
    <t>Total Estimated Paved Road 30-Year Maintenance Cost</t>
  </si>
  <si>
    <t>Required Safety Improvements</t>
  </si>
  <si>
    <t>Maintenance Cost Year</t>
  </si>
  <si>
    <t>Total Savings During 30-Year Analysis Period</t>
  </si>
  <si>
    <t>State of Good Repair - Existing Maintenance Costs and Required Safety Improvements</t>
  </si>
  <si>
    <t>Annual Existing Maintenance in Constant Dollars</t>
  </si>
  <si>
    <t>Maintenance Costs for Proposed Project</t>
  </si>
  <si>
    <t>Project Paved Road Maintenance</t>
  </si>
  <si>
    <t>Maintenance Period (years)</t>
  </si>
  <si>
    <t>No Build Safety Improvements</t>
  </si>
  <si>
    <t>629E0110</t>
  </si>
  <si>
    <t>NCHRP 350 TEST LEVEL 3 HIGH TENSION CABLE GUARDRAIL</t>
  </si>
  <si>
    <t>629E0290</t>
  </si>
  <si>
    <t>NCHRP 350 TEST LEVEL 3 HIGH TENSION CABLE GUARDRAIL ANCHOR ASSEMBLY</t>
  </si>
  <si>
    <t>630E1010</t>
  </si>
  <si>
    <t>STRAIGHT CLASS A W BEAM GUARDRAIL WITH WOOD POSTS</t>
  </si>
  <si>
    <t>630E2020</t>
  </si>
  <si>
    <t>W BEAM TANGENT END TERMINAL</t>
  </si>
  <si>
    <t>PATHWAY AND INTERSECTION LIGHTING</t>
  </si>
  <si>
    <t>635E5990</t>
  </si>
  <si>
    <t>PEDESTRIAN FLASHING BEACON</t>
  </si>
  <si>
    <t>DESIGN ENGINEERING 3%</t>
  </si>
  <si>
    <t>BIA 2 SAFETY IMPROVEMENTS - KYLE TO SD HWY 44 - NO BUILD</t>
  </si>
  <si>
    <t>ANNUAL MAINTENANCE - BIA 2 SAFETY IMPROVEMENTS - KYLE TO SD HWY 44 - NO BUILD</t>
  </si>
  <si>
    <t>629E0210</t>
  </si>
  <si>
    <t>RESET HIGH TENSION 3 CABLE GUARDRAIL</t>
  </si>
  <si>
    <t>629E0225</t>
  </si>
  <si>
    <t>RESET HIGH TENSION 3 CABLE GUARDRAIL TERMINAL POST</t>
  </si>
  <si>
    <t>629E0295</t>
  </si>
  <si>
    <t>RESET HIGH TENSION CABLE GUARDRAIL ANCHOR ASSEMBLY</t>
  </si>
  <si>
    <t>630E5160</t>
  </si>
  <si>
    <t>RESET W BEAM GUARDRAIL</t>
  </si>
  <si>
    <t>630E5208</t>
  </si>
  <si>
    <t>RESET W BEAM GUARDRAIL TANGENT END TERMINAL</t>
  </si>
  <si>
    <t>RESET BEAM GUARDRAIL POST AND BLOCK</t>
  </si>
  <si>
    <t>632E5550</t>
  </si>
  <si>
    <t xml:space="preserve"> ESTIMATED ANNUAL MAINTENANCE COST</t>
  </si>
  <si>
    <t>Existing Paved Road Required Safety Upgrades and Maintenance</t>
  </si>
  <si>
    <t>Guardrails, centerline rumble stripe, pedestrian flashing beacon, intersection lighting</t>
  </si>
  <si>
    <t>Annual Maintenance</t>
  </si>
  <si>
    <t>Estimated Total Maintenance Cost</t>
  </si>
  <si>
    <t>Annual Existing Maintenance Present Value of Savings (dollars)
(7% discount rate)</t>
  </si>
  <si>
    <t>Total Existing Annual Maintenance + Safety Improvments and Maintenance Savings in Constant Dollars</t>
  </si>
  <si>
    <t>Total Existing Annual Maintenance + Safety Improvments and Maintenance Present Value of Savings (dollars)
(7% discount rate)</t>
  </si>
  <si>
    <t>Annual Safety Improvements and Maintenance in Constant Dollars</t>
  </si>
  <si>
    <t>Annual Safety Improvements and Maintenance Present Value of Savings (dollars)
(7% discount rate)</t>
  </si>
  <si>
    <t>Pedestrian Injury Savings</t>
  </si>
  <si>
    <t>Quality of Life</t>
  </si>
  <si>
    <t>Value
(2018 dollars)</t>
  </si>
  <si>
    <t>Costs required if BUILD not awarded to meet current safety standards.</t>
  </si>
  <si>
    <t>ANNUAL MAINTENANCE - BIA 2 - KYLE TO SD 44</t>
  </si>
  <si>
    <t>635E5995</t>
  </si>
  <si>
    <t>REMOTE WEATHER MONITORING STATIONS</t>
  </si>
  <si>
    <t>PAVEMENT MANAGEMENT - BIA 2 - KYLE TO SD 44 - MAINTENANCE AFTER BUILD RECONSTRUCTION PROJECT</t>
  </si>
  <si>
    <t>CONSTRUCTION OBSERVATION 4%</t>
  </si>
  <si>
    <t>TOTAL ESTIMATED PROJECT COST INCLUDING MAINTENANCE</t>
  </si>
  <si>
    <t>Potential Crashes Prevented</t>
  </si>
  <si>
    <t>Average Number of Incapacitating Injuries per Year</t>
  </si>
  <si>
    <t>Annual Value of Incapacitating Injury</t>
  </si>
  <si>
    <t>Value of Incapacitating Injuries per Year/Average Annual Traffic</t>
  </si>
  <si>
    <t>Value of Annual Incapacitating Injuries</t>
  </si>
  <si>
    <t>Crash Modification / Reduction Factors</t>
  </si>
  <si>
    <t>CRF</t>
  </si>
  <si>
    <t>Project Area</t>
  </si>
  <si>
    <t>% of Crashes Impacted</t>
  </si>
  <si>
    <t>% Traffic</t>
  </si>
  <si>
    <t>Install edgeline rumble strips</t>
  </si>
  <si>
    <t>Source:</t>
  </si>
  <si>
    <t>Increase lane width from 11 feet to 12 feet</t>
  </si>
  <si>
    <t>Install TWLTL on two lane road</t>
  </si>
  <si>
    <t>Weighted CMF per area of crashes</t>
  </si>
  <si>
    <t>Weighted CMF per Project Area</t>
  </si>
  <si>
    <t>Rural</t>
  </si>
  <si>
    <t>Urban/Kyle</t>
  </si>
  <si>
    <t>Total Crash Modification (Weighted) Factor Benefits</t>
  </si>
  <si>
    <t>Source: A =http://www.cmfclearinghouse.org/ and  B = https://safety.fhwa.dot.gov/tools/crf/resources/fhwasa08011/fhwasa08011.pdf</t>
  </si>
  <si>
    <t>Modification factor of 0.24</t>
  </si>
  <si>
    <t># Crashes</t>
  </si>
  <si>
    <t># Persons Injured or Killed</t>
  </si>
  <si>
    <t>Total per Person Injury Type</t>
  </si>
  <si>
    <t>Value per Person Injury Type</t>
  </si>
  <si>
    <t>Average Annual Incapacitating Injuries</t>
  </si>
  <si>
    <t>See Traffic Forecast</t>
  </si>
  <si>
    <t>Annual rate of Traffic Growth
See Traffic Forecast</t>
  </si>
  <si>
    <t>Project Area Reported Crashes</t>
  </si>
  <si>
    <t>Pedestrian Assumptions:</t>
  </si>
  <si>
    <t>Pedestrian count:</t>
  </si>
  <si>
    <t>% Pedestrian Crashes:</t>
  </si>
  <si>
    <t>Based on population, percent of population without a vehicle, Little Wound School, and Oglala Lakota College student and faculty count</t>
  </si>
  <si>
    <t>Majority of walker/bikers are in the Community of Kyle</t>
  </si>
  <si>
    <t>Some pedestrians walk on road due to no vehicle</t>
  </si>
  <si>
    <t>Total Number of Crashes:</t>
  </si>
  <si>
    <t>Total Crashes (Impaired and Not Impaired)</t>
  </si>
  <si>
    <t>% Pedestrian Fatalities:</t>
  </si>
  <si>
    <t>Percent of fatality crashes are pedestrian fatalities. Per OST 2016 Tribal Transportation Safety Plan Reservation-wide</t>
  </si>
  <si>
    <t>Percent of total crashes are pedestrian crashes from 2014-2019 per SDDPS of reported crashes in Oglala Lakota County</t>
  </si>
  <si>
    <t>Total Fatal Crashes:</t>
  </si>
  <si>
    <t>Total Fatal Type Crashes (Impaired and Not Impaired)</t>
  </si>
  <si>
    <t>Potential Pedestrian Crashes with No Build:</t>
  </si>
  <si>
    <t>Rate per year of Potential Fatal Pedestrian Crash</t>
  </si>
  <si>
    <t>Rate per year of Potential Injury Pedestrian Crash</t>
  </si>
  <si>
    <t>30-Year Analysis Period:</t>
  </si>
  <si>
    <t>Potential 1 pedestrian life saved</t>
  </si>
  <si>
    <t>Potential Pedestrian Fatal Crashes with No Build during 11 year crash data:</t>
  </si>
  <si>
    <t>Potential Pedestrian Injury Crashes with No Build during 11 year crash data:</t>
  </si>
  <si>
    <t>Total Pedestrian Fatality No Build</t>
  </si>
  <si>
    <t>Total Pedestrian Injury No Build</t>
  </si>
  <si>
    <t>Savings from Pedestrian Crash Reduction</t>
  </si>
  <si>
    <t>Statistically highly likely a pedestrian could be killed within the 30-year analysis period with No Build Scenerio</t>
  </si>
  <si>
    <t>Total per Crash Injury Type</t>
  </si>
  <si>
    <t>Average Number of Possible Injuries per Year</t>
  </si>
  <si>
    <t>Annual Value of Possible Injury</t>
  </si>
  <si>
    <t>Value of Possible Injuries per Year/Average Annual Traffic</t>
  </si>
  <si>
    <t>Average Number of Persons with No Injury per Year</t>
  </si>
  <si>
    <t>Annual Value of  Persons with No Injury</t>
  </si>
  <si>
    <t>Value of  Persons with No Injury per Year/Average Annual Traffic</t>
  </si>
  <si>
    <t>Average Annual Possible Injuries</t>
  </si>
  <si>
    <t>Average Annual Persons w/ No Injury</t>
  </si>
  <si>
    <t>Value of Annual Possible Injuries</t>
  </si>
  <si>
    <t>Value of Annual Persons w No Injury</t>
  </si>
  <si>
    <t>Value of Annual Persons Killed</t>
  </si>
  <si>
    <t>Average Annual Persons Killed</t>
  </si>
  <si>
    <t>Average Annual Non-Incapacitating Injuries</t>
  </si>
  <si>
    <t>Average Number of Non-Incapacitating Injuries per Year</t>
  </si>
  <si>
    <t>Annual Value of Non-Incapacitating Injury</t>
  </si>
  <si>
    <t>Value of Non-Incapacitating Injuries per Year/Average Annual Traffic</t>
  </si>
  <si>
    <t>Value of Annual Non-Incapacitating Injuries</t>
  </si>
  <si>
    <t>No Build Potential Crash Types/Person                       (2029 - 2058)</t>
  </si>
  <si>
    <t>Estimate Prevented Injuries</t>
  </si>
  <si>
    <t>Annual, undiscounted savings of $429,303 due to improved emergency services response times of 12.92 minutes per run</t>
  </si>
  <si>
    <t>Estimate Lives Saved</t>
  </si>
  <si>
    <t>● Potential 6.8 lives saved             ● Potential 25.1 injuries prevented
● Potential 16 property damage only accidents prevented</t>
  </si>
  <si>
    <t>*** REFERENCE GOLDEN WEST COST ESTIMATE FOR FIBEROPTIC REPLACEMENT + EXTRA WITHOUT COMPONENT 2 GRADING WORK</t>
  </si>
  <si>
    <t>Tourism Growth</t>
  </si>
  <si>
    <t>2017/2016</t>
  </si>
  <si>
    <t>2018/2017</t>
  </si>
  <si>
    <t>Average Annual rate of Tourism Growth</t>
  </si>
  <si>
    <t>Scenic Byway Growth Rate</t>
  </si>
  <si>
    <t>:http://sdvisit.com/tools/research/_pdf/17EcoImp_Tourism_Economics.pdf</t>
  </si>
  <si>
    <t>Current Visitors</t>
  </si>
  <si>
    <t>Current Spending</t>
  </si>
  <si>
    <t>From Living History Village Report</t>
  </si>
  <si>
    <t>Expection Tourism (Base) to Oglala Lakota County</t>
  </si>
  <si>
    <t>Anticipated Tourism Due to Scenic Byway and Road Improvements, Overlooks, Pull-off Sites</t>
  </si>
  <si>
    <t>Tourism Visitor Spending</t>
  </si>
  <si>
    <t>Increase in Tourism Spending from Scenic Byway, BIA 2 Overlooks, and Pull-off Sites</t>
  </si>
  <si>
    <t>Passenger Vehicle Travel, 85.5%</t>
  </si>
  <si>
    <t>Truck Travel, 14.5%</t>
  </si>
  <si>
    <t>Per 2018 BCA Guidance, pg 33</t>
  </si>
  <si>
    <t>https://www.bts.gov/archive/publications/research_papers/estimating_multifactor_productivity_in_truck_transportation/table_10</t>
  </si>
  <si>
    <t>https://www.eia.gov/environment/emissions/co2_vol_mass.php</t>
  </si>
  <si>
    <t>Per 2018 BCA Guidance, pg 34</t>
  </si>
  <si>
    <t>Truck Travel,14.5%</t>
  </si>
  <si>
    <t>Cost of Emissions, Benefit Cost Analysis Guidance for Discretionary Grant Programs, January 2020, pg 33</t>
  </si>
  <si>
    <t>Reduction of Emissions Due to Recycling Existing Asphalt Road Aggregate for 15% Aggregate in New Asphalt Concrete Pavement Resulting in Less Trucks Hauling New Aggregate to Project</t>
  </si>
  <si>
    <t>Project Needs:</t>
  </si>
  <si>
    <t>Asphalt Concrete</t>
  </si>
  <si>
    <t>Ton</t>
  </si>
  <si>
    <t>15% Aggregate</t>
  </si>
  <si>
    <t>Ave Truck Capacity</t>
  </si>
  <si>
    <t>Haul Distance</t>
  </si>
  <si>
    <t>Tons/Truck</t>
  </si>
  <si>
    <t>Number of Truck Trips</t>
  </si>
  <si>
    <t>Trips</t>
  </si>
  <si>
    <t>Total Miles Saved Not Hauling Aggregate</t>
  </si>
  <si>
    <t>Hauling Year</t>
  </si>
  <si>
    <t>Miles Per Year</t>
  </si>
  <si>
    <t>Reduced Emissions from Not Hauling Aggregate</t>
  </si>
  <si>
    <t>Year 2026</t>
  </si>
  <si>
    <t>Year 2027</t>
  </si>
  <si>
    <t>Year 2028</t>
  </si>
  <si>
    <t>grams</t>
  </si>
  <si>
    <t>CO2 Reduced
metric tons During Construction</t>
  </si>
  <si>
    <t>Total CO2 Reduced
metric tons</t>
  </si>
  <si>
    <t>CO2 Reduced
metric tons During Analysis Period</t>
  </si>
  <si>
    <t>NOx Reduced During Analysis Period
(short tons)</t>
  </si>
  <si>
    <t>NOx Reduced During Construction
(short tons)</t>
  </si>
  <si>
    <t>Total NOx Reduced 
(short tons)</t>
  </si>
  <si>
    <t>Total VOC Reduced
(short tons)</t>
  </si>
  <si>
    <t>VOC Reduced During Construction
(short tons)</t>
  </si>
  <si>
    <t>VOC Reduced During Analysis Period
(short tons)</t>
  </si>
  <si>
    <t>PM Reduced During Analysis Period
(short tons)</t>
  </si>
  <si>
    <t>PM Reduced During Construction
(short tons)</t>
  </si>
  <si>
    <t>Total PM Reduced
(short tons)</t>
  </si>
  <si>
    <t>Emission reductions of:
2,998 metric tons of CO2 (not monetized)
20.08 short tons of NOx
5.06 short tons of VOC
0.371 short tons of PM</t>
  </si>
  <si>
    <t>Hot Springs, SD to Project Midpoint 10 miles East of Kyle, SD</t>
  </si>
  <si>
    <t>Pathway Health Savings</t>
  </si>
  <si>
    <t>Population of Kyle</t>
  </si>
  <si>
    <t>Population Growth Rate</t>
  </si>
  <si>
    <t>Annual Health cost savings per capita</t>
  </si>
  <si>
    <t xml:space="preserve"> https://www.researchgate.net/publication/7883301_A_Cost-Benefit_Analysis_of_Physical_Activity_Using_BikePedestrian_Trails</t>
  </si>
  <si>
    <t>https://worldpopulationreview.com/us-cities/kyle-sd-population/</t>
  </si>
  <si>
    <t>Health Benefits from Physical Activity on Trails</t>
  </si>
  <si>
    <t>Population</t>
  </si>
  <si>
    <t>Reduction in Health Costs</t>
  </si>
  <si>
    <t>Medical benefit of pedestrian trail use</t>
  </si>
  <si>
    <t>Per Capita Annual Health Savings for Component 1</t>
  </si>
  <si>
    <t>Per Capita Annual Health Savings for Component 2</t>
  </si>
  <si>
    <t>Tourism Economic Growth tab</t>
  </si>
  <si>
    <t xml:space="preserve">↓ Tourism crash potential
↓ Tourists avoiding route
</t>
  </si>
  <si>
    <t>Tourists, residents, small businesses serving tourism economy</t>
  </si>
  <si>
    <t>↑ Tourism economic growth</t>
  </si>
  <si>
    <t>The planning and preconstruction activities will prepare for complete reconstruction of BIA 2 roadway, incorporating flattened side slopes, improved horizontal and vertical alignments, widened lanes and shoulders, delineators, edge line rumble strips, and weather monitoring stations throughout the project. A pedestrian trail will be incorporated along BIA 2 east of Kyle and in Kyle, curb and gutter, center turn lane, sidewalks, crosswalks, and lighting will be added.</t>
  </si>
  <si>
    <t>↑ Increase pedestrian access to trails and sidewalks</t>
  </si>
  <si>
    <t xml:space="preserve">Tribal members, children, students, and tourists
</t>
  </si>
  <si>
    <t>↓ Accident risk            ↓ Pedestrian risk         ↓ Inclement weather Crashes</t>
  </si>
  <si>
    <t>↑ Increase partnership and support</t>
  </si>
  <si>
    <t>↓Reduced costs, lost efficiency                   ↑ Increase construction efficiency</t>
  </si>
  <si>
    <t>Pathway Health Savings tab</t>
  </si>
  <si>
    <t>Remote Weather Monitoring Stations</t>
  </si>
  <si>
    <t>PAVEMENT MANAGEMENT - BIA 2 - KYLE TO SD 44 -  20 YR REPLACEMENT COSTS AFTER BUILD RECONSTRUCTION PROJECT</t>
  </si>
  <si>
    <t>PAVEMENT MANAGEMENT - BIA 2 - KYLE TO SD 44 - 10 YR REPLACEMENT COSTS AFTER BUILD RECONSTRUCTION PROJECT</t>
  </si>
  <si>
    <t>REMOTE WEATHER MONITORING STATION</t>
  </si>
  <si>
    <t>LED Lights and Ped Beacons</t>
  </si>
  <si>
    <t>Value Per Type of Improvement</t>
  </si>
  <si>
    <t>Environmental Sustainability</t>
  </si>
  <si>
    <t>↑ Increase opportunities for pedestrian exercise</t>
  </si>
  <si>
    <t>BIA 2</t>
  </si>
  <si>
    <t>RAISE Matrix</t>
  </si>
  <si>
    <t>BIA 2 - 2 INCH OVERLAY - KYLE TO SD HWY 44 -  YEAR 2032 - NO BUILD SCENERIO</t>
  </si>
  <si>
    <t>CRACK SEALING AND CHIP SEAL - ENGINEER'S PROBABLE CONSTRUCTION COST (20.7 MILES - YEARS 2023, 2041, 2050 AND 2059)</t>
  </si>
  <si>
    <t>CRACK SEALING AND CHIP SEAL - ENGINEER'S PROBABLE CONSTRUCTION COST                                                                    (20.7 MILES - YEARS 2038, 2047, AND 2056)</t>
  </si>
  <si>
    <t>LIGHTING LED BULBS AND PEDESTRIAN FLASHING BEACONS (20 YEAR LIFESPAN) REPLACEMENT AT YEAR 2050</t>
  </si>
  <si>
    <t>REMOTE WEATHER MONITORING STATIONS (10 YEAR LIFESPAN) REPLACEMENT AT YEAR 2040 AND 2050</t>
  </si>
  <si>
    <t>BIA 2 - KYLE TO SD 44 - BUILD GRANT COMPLETE PROJECT RECONSTRUCTION COST</t>
  </si>
  <si>
    <t>Total</t>
  </si>
  <si>
    <t>Per 2021 BUILD BCA guidance, pg 30</t>
  </si>
  <si>
    <t>Per 2021 BCA guidance, pg 32</t>
  </si>
  <si>
    <t>900E9998</t>
  </si>
  <si>
    <t>TOURISM INTERPRETIVE SIGNS</t>
  </si>
  <si>
    <t xml:space="preserve">POWER POLES RELOCATION = </t>
  </si>
  <si>
    <t>RURAL WATER ADJUSTMENTS =</t>
  </si>
  <si>
    <t xml:space="preserve">TELECOMMUNICATIONS RELOCATION = </t>
  </si>
  <si>
    <t xml:space="preserve">ROAD RIGHT-OF-WAY AND EASEMENTS = </t>
  </si>
  <si>
    <t>↑ safety for all users
↑ efficiency and reliability
↑ access                    
↑ global economic competitiveness
↑ ease of movement for people and freight   ↑ regional improved traveler  information on road conditions        ↑ safe pedestrian spaces                         ↑ wetland preservation sites</t>
  </si>
  <si>
    <t>Partnership Savings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</si>
</sst>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_(&quot;$&quot;* \(#,##0.00\);_(&quot;$&quot;* &quot;-&quot;??_);_(@_)"/>
    <numFmt numFmtId="43" formatCode="_(* #,##0.00_);_(* \(#,##0.00\);_(* &quot;-&quot;??_);_(@_)"/>
    <numFmt numFmtId="164" formatCode="0.00000"/>
    <numFmt numFmtId="165" formatCode="_(&quot;$&quot;* #,##0_);_(&quot;$&quot;* \(#,##0\);_(&quot;$&quot;* &quot;-&quot;??_);_(@_)"/>
    <numFmt numFmtId="166" formatCode="_(* #,##0_);_(* \(#,##0\);_(* &quot;-&quot;??_);_(@_)"/>
    <numFmt numFmtId="167" formatCode="0.0"/>
    <numFmt numFmtId="168" formatCode="#,##0.0"/>
    <numFmt numFmtId="169" formatCode="0.0%"/>
    <numFmt numFmtId="170" formatCode="0.000"/>
    <numFmt numFmtId="171" formatCode="_(&quot;$&quot;* #,##0.0000_);_(&quot;$&quot;* \(#,##0.0000\);_(&quot;$&quot;* &quot;-&quot;??_);_(@_)"/>
    <numFmt numFmtId="172" formatCode="_(* #,##0.0_);_(* \(#,##0.0\);_(* &quot;-&quot;??_);_(@_)"/>
    <numFmt numFmtId="173" formatCode="0.0000"/>
    <numFmt numFmtId="174" formatCode="_(* #,##0.000_);_(* \(#,##0.000\);_(* &quot;-&quot;??_);_(@_)"/>
    <numFmt numFmtId="175" formatCode="_(* #,##0.0000_);_(* \(#,##0.0000\);_(* &quot;-&quot;??_);_(@_)"/>
    <numFmt numFmtId="176" formatCode="_(* #,##0.000000_);_(* \(#,##0.000000\);_(* &quot;-&quot;??_);_(@_)"/>
    <numFmt numFmtId="177" formatCode="_(&quot;$&quot;* #,##0.0_);_(&quot;$&quot;* \(#,##0.0\);_(&quot;$&quot;* &quot;-&quot;??_);_(@_)"/>
    <numFmt numFmtId="178" formatCode="&quot;$&quot;#,##0"/>
  </numFmts>
  <fonts count="20">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1"/>
      <color theme="3"/>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sz val="11"/>
      <color theme="1"/>
      <name val="Calibri"/>
      <family val="2"/>
    </font>
    <font>
      <u/>
      <sz val="11"/>
      <color theme="10"/>
      <name val="Calibri"/>
      <family val="2"/>
      <scheme val="minor"/>
    </font>
    <font>
      <sz val="10"/>
      <name val="Calibri"/>
      <family val="2"/>
      <scheme val="minor"/>
    </font>
    <font>
      <b/>
      <sz val="13"/>
      <color theme="3"/>
      <name val="Calibri"/>
      <family val="2"/>
      <scheme val="minor"/>
    </font>
    <font>
      <b/>
      <sz val="10"/>
      <name val="Calibri"/>
      <family val="2"/>
      <scheme val="minor"/>
    </font>
    <font>
      <u/>
      <sz val="11"/>
      <name val="Calibri"/>
      <family val="2"/>
      <scheme val="minor"/>
    </font>
    <font>
      <sz val="11"/>
      <name val="Calibri Light"/>
      <family val="2"/>
      <scheme val="major"/>
    </font>
    <font>
      <sz val="10"/>
      <color theme="1"/>
      <name val="Calibri"/>
      <family val="2"/>
      <scheme val="minor"/>
    </font>
    <font>
      <b/>
      <sz val="10"/>
      <color theme="1"/>
      <name val="Calibri"/>
      <family val="2"/>
      <scheme val="minor"/>
    </font>
    <font>
      <sz val="11.5"/>
      <color theme="1"/>
      <name val="TimesNewRomanPSMT"/>
    </font>
    <font>
      <sz val="10"/>
      <color theme="1"/>
      <name val="Arial"/>
      <family val="2"/>
    </font>
  </fonts>
  <fills count="10">
    <fill>
      <patternFill patternType="none"/>
    </fill>
    <fill>
      <patternFill patternType="gray125"/>
    </fill>
    <fill>
      <patternFill patternType="solid">
        <fgColor theme="4" tint="0.79998168889431442"/>
        <bgColor indexed="65"/>
      </patternFill>
    </fill>
    <fill>
      <patternFill patternType="solid">
        <fgColor theme="6"/>
      </patternFill>
    </fill>
    <fill>
      <patternFill patternType="solid">
        <fgColor theme="7"/>
      </patternFill>
    </fill>
    <fill>
      <patternFill patternType="solid">
        <fgColor theme="4" tint="0.79998168889431442"/>
        <bgColor indexed="64"/>
      </patternFill>
    </fill>
    <fill>
      <patternFill patternType="solid">
        <fgColor theme="7"/>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s>
  <borders count="45">
    <border>
      <left/>
      <right/>
      <top/>
      <bottom/>
      <diagonal/>
    </border>
    <border>
      <left/>
      <right/>
      <top/>
      <bottom style="thick">
        <color theme="4"/>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double">
        <color theme="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bottom style="thick">
        <color theme="4" tint="0.499984740745262"/>
      </bottom>
      <diagonal/>
    </border>
    <border>
      <left/>
      <right/>
      <top style="thick">
        <color theme="4"/>
      </top>
      <bottom style="thick">
        <color theme="4"/>
      </bottom>
      <diagonal/>
    </border>
    <border>
      <left/>
      <right/>
      <top style="thick">
        <color theme="4"/>
      </top>
      <bottom style="medium">
        <color theme="4" tint="0.39997558519241921"/>
      </bottom>
      <diagonal/>
    </border>
    <border>
      <left/>
      <right/>
      <top/>
      <bottom style="medium">
        <color theme="4" tint="0.39994506668294322"/>
      </bottom>
      <diagonal/>
    </border>
    <border>
      <left/>
      <right/>
      <top style="medium">
        <color theme="4" tint="0.39994506668294322"/>
      </top>
      <bottom style="medium">
        <color theme="4" tint="0.39997558519241921"/>
      </bottom>
      <diagonal/>
    </border>
    <border>
      <left/>
      <right/>
      <top style="double">
        <color theme="4"/>
      </top>
      <bottom/>
      <diagonal/>
    </border>
    <border>
      <left/>
      <right/>
      <top style="medium">
        <color theme="4" tint="0.39997558519241921"/>
      </top>
      <bottom/>
      <diagonal/>
    </border>
    <border>
      <left style="medium">
        <color indexed="64"/>
      </left>
      <right style="thin">
        <color indexed="64"/>
      </right>
      <top/>
      <bottom/>
      <diagonal/>
    </border>
    <border>
      <left style="thin">
        <color indexed="64"/>
      </left>
      <right style="thin">
        <color indexed="64"/>
      </right>
      <top style="thin">
        <color indexed="64"/>
      </top>
      <bottom style="double">
        <color theme="4"/>
      </bottom>
      <diagonal/>
    </border>
    <border>
      <left style="thin">
        <color indexed="64"/>
      </left>
      <right/>
      <top style="thin">
        <color indexed="64"/>
      </top>
      <bottom style="double">
        <color theme="4"/>
      </bottom>
      <diagonal/>
    </border>
    <border>
      <left/>
      <right/>
      <top style="thin">
        <color indexed="64"/>
      </top>
      <bottom style="double">
        <color theme="4"/>
      </bottom>
      <diagonal/>
    </border>
    <border>
      <left/>
      <right style="thin">
        <color indexed="64"/>
      </right>
      <top style="thin">
        <color indexed="64"/>
      </top>
      <bottom style="double">
        <color theme="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thin">
        <color auto="1"/>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thin">
        <color theme="4"/>
      </bottom>
      <diagonal/>
    </border>
  </borders>
  <cellStyleXfs count="1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4" fillId="0" borderId="0" applyNumberFormat="0" applyFill="0" applyBorder="0" applyAlignment="0" applyProtection="0"/>
    <xf numFmtId="0" fontId="5" fillId="0" borderId="3" applyNumberFormat="0" applyFill="0" applyAlignment="0" applyProtection="0"/>
    <xf numFmtId="0" fontId="1"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10" fillId="0" borderId="0" applyNumberFormat="0" applyFill="0" applyBorder="0" applyAlignment="0" applyProtection="0"/>
    <xf numFmtId="9" fontId="1" fillId="0" borderId="0" applyFont="0" applyFill="0" applyBorder="0" applyAlignment="0" applyProtection="0"/>
    <xf numFmtId="0" fontId="12" fillId="0" borderId="25" applyNumberFormat="0" applyFill="0" applyAlignment="0" applyProtection="0"/>
  </cellStyleXfs>
  <cellXfs count="380">
    <xf numFmtId="0" fontId="0" fillId="0" borderId="0" xfId="0"/>
    <xf numFmtId="0" fontId="7" fillId="0" borderId="4" xfId="0" applyFont="1" applyBorder="1"/>
    <xf numFmtId="9" fontId="8" fillId="0" borderId="4" xfId="0" applyNumberFormat="1" applyFont="1" applyBorder="1" applyAlignment="1">
      <alignment horizontal="center"/>
    </xf>
    <xf numFmtId="164" fontId="7" fillId="0" borderId="4" xfId="0" applyNumberFormat="1" applyFont="1" applyBorder="1"/>
    <xf numFmtId="0" fontId="1" fillId="0" borderId="4" xfId="8" applyFill="1" applyBorder="1"/>
    <xf numFmtId="164" fontId="1" fillId="0" borderId="4" xfId="8" applyNumberFormat="1" applyFill="1" applyBorder="1"/>
    <xf numFmtId="0" fontId="4" fillId="0" borderId="2" xfId="5" applyAlignment="1">
      <alignment wrapText="1"/>
    </xf>
    <xf numFmtId="0" fontId="1" fillId="5" borderId="4" xfId="8" applyFill="1" applyBorder="1"/>
    <xf numFmtId="164" fontId="1" fillId="5" borderId="4" xfId="8" applyNumberFormat="1" applyFill="1" applyBorder="1"/>
    <xf numFmtId="3" fontId="11" fillId="0" borderId="4" xfId="1" applyNumberFormat="1" applyFont="1" applyFill="1" applyBorder="1" applyAlignment="1">
      <alignment horizontal="center" vertical="center"/>
    </xf>
    <xf numFmtId="0" fontId="11" fillId="0" borderId="4" xfId="0" applyNumberFormat="1" applyFont="1" applyFill="1" applyBorder="1" applyAlignment="1">
      <alignment horizontal="center" vertical="center"/>
    </xf>
    <xf numFmtId="49" fontId="11" fillId="0" borderId="4" xfId="0" applyNumberFormat="1" applyFont="1" applyFill="1" applyBorder="1" applyAlignment="1">
      <alignment horizontal="left" vertical="center"/>
    </xf>
    <xf numFmtId="168" fontId="11" fillId="0" borderId="4" xfId="1" applyNumberFormat="1" applyFont="1" applyFill="1" applyBorder="1" applyAlignment="1">
      <alignment horizontal="center" vertical="center"/>
    </xf>
    <xf numFmtId="43" fontId="11" fillId="0" borderId="4" xfId="1" applyFont="1" applyFill="1" applyBorder="1" applyAlignment="1">
      <alignment horizontal="center" vertical="center"/>
    </xf>
    <xf numFmtId="44" fontId="11" fillId="0" borderId="4" xfId="2" applyFont="1" applyFill="1" applyBorder="1" applyAlignment="1">
      <alignment horizontal="left" vertical="center"/>
    </xf>
    <xf numFmtId="3" fontId="11" fillId="0" borderId="4" xfId="1" applyNumberFormat="1" applyFont="1" applyFill="1" applyBorder="1" applyAlignment="1">
      <alignment horizontal="center" vertical="center" wrapText="1"/>
    </xf>
    <xf numFmtId="44" fontId="11" fillId="0" borderId="4" xfId="0" applyNumberFormat="1" applyFont="1" applyFill="1" applyBorder="1" applyAlignment="1">
      <alignment horizontal="left" vertical="center"/>
    </xf>
    <xf numFmtId="0" fontId="7" fillId="0" borderId="4" xfId="0" applyFont="1" applyBorder="1" applyAlignment="1">
      <alignment horizontal="left" wrapText="1"/>
    </xf>
    <xf numFmtId="0" fontId="7" fillId="0" borderId="4" xfId="2" applyNumberFormat="1" applyFont="1" applyBorder="1" applyAlignment="1">
      <alignment wrapText="1"/>
    </xf>
    <xf numFmtId="0" fontId="7" fillId="0" borderId="9" xfId="0" applyFont="1" applyBorder="1" applyAlignment="1">
      <alignment horizontal="left" wrapText="1"/>
    </xf>
    <xf numFmtId="0" fontId="7" fillId="0" borderId="7" xfId="0" applyFont="1" applyBorder="1" applyAlignment="1">
      <alignment horizontal="left" wrapText="1"/>
    </xf>
    <xf numFmtId="0" fontId="7" fillId="0" borderId="4" xfId="2" applyNumberFormat="1" applyFont="1" applyFill="1" applyBorder="1"/>
    <xf numFmtId="0" fontId="7" fillId="0" borderId="4" xfId="0" applyNumberFormat="1" applyFont="1" applyBorder="1"/>
    <xf numFmtId="166" fontId="7" fillId="0" borderId="4" xfId="1" applyNumberFormat="1" applyFont="1" applyBorder="1"/>
    <xf numFmtId="165" fontId="7" fillId="0" borderId="4" xfId="2" applyNumberFormat="1" applyFont="1" applyBorder="1"/>
    <xf numFmtId="10" fontId="7" fillId="0" borderId="4" xfId="12" applyNumberFormat="1" applyFont="1" applyBorder="1"/>
    <xf numFmtId="0" fontId="8" fillId="4" borderId="6" xfId="10" applyFont="1" applyBorder="1" applyAlignment="1">
      <alignment horizontal="left" vertical="top"/>
    </xf>
    <xf numFmtId="2" fontId="8" fillId="4" borderId="4" xfId="10" applyNumberFormat="1" applyFont="1" applyBorder="1" applyAlignment="1">
      <alignment vertical="top"/>
    </xf>
    <xf numFmtId="0" fontId="0" fillId="0" borderId="4" xfId="0" applyFill="1" applyBorder="1" applyAlignment="1">
      <alignment horizontal="left" vertical="top" wrapText="1"/>
    </xf>
    <xf numFmtId="0" fontId="0" fillId="0" borderId="4" xfId="0" applyBorder="1" applyAlignment="1">
      <alignment vertical="top" wrapText="1"/>
    </xf>
    <xf numFmtId="0" fontId="0" fillId="0" borderId="0" xfId="0" applyAlignment="1">
      <alignment vertical="top"/>
    </xf>
    <xf numFmtId="0" fontId="0" fillId="0" borderId="4" xfId="0" applyFont="1" applyFill="1" applyBorder="1" applyAlignment="1">
      <alignment vertical="top" wrapText="1"/>
    </xf>
    <xf numFmtId="0" fontId="12" fillId="0" borderId="25" xfId="13"/>
    <xf numFmtId="0" fontId="7" fillId="4" borderId="0" xfId="10" applyFont="1" applyBorder="1" applyAlignment="1">
      <alignment horizontal="center" vertical="center"/>
    </xf>
    <xf numFmtId="0" fontId="7" fillId="4" borderId="0" xfId="10" applyFont="1" applyBorder="1" applyAlignment="1">
      <alignment horizontal="center" vertical="center" wrapText="1"/>
    </xf>
    <xf numFmtId="0" fontId="7" fillId="0" borderId="18" xfId="0" applyFont="1" applyBorder="1" applyAlignment="1">
      <alignment vertical="top"/>
    </xf>
    <xf numFmtId="0" fontId="7" fillId="0" borderId="18" xfId="0" applyFont="1" applyBorder="1" applyAlignment="1">
      <alignment vertical="top" wrapText="1"/>
    </xf>
    <xf numFmtId="165" fontId="7" fillId="0" borderId="18" xfId="2" applyNumberFormat="1" applyFont="1" applyBorder="1" applyAlignment="1">
      <alignment vertical="top"/>
    </xf>
    <xf numFmtId="165" fontId="7" fillId="0" borderId="21" xfId="2" applyNumberFormat="1" applyFont="1" applyBorder="1" applyAlignment="1">
      <alignment vertical="top"/>
    </xf>
    <xf numFmtId="0" fontId="7" fillId="0" borderId="16" xfId="0" applyFont="1" applyBorder="1" applyAlignment="1">
      <alignment vertical="top"/>
    </xf>
    <xf numFmtId="165" fontId="7" fillId="0" borderId="16" xfId="2" applyNumberFormat="1" applyFont="1" applyBorder="1" applyAlignment="1">
      <alignment vertical="top"/>
    </xf>
    <xf numFmtId="0" fontId="7" fillId="0" borderId="17" xfId="0" applyFont="1" applyBorder="1" applyAlignment="1">
      <alignment vertical="top" wrapText="1"/>
    </xf>
    <xf numFmtId="165" fontId="7" fillId="0" borderId="17" xfId="2" applyNumberFormat="1" applyFont="1" applyBorder="1" applyAlignment="1">
      <alignment vertical="top"/>
    </xf>
    <xf numFmtId="0" fontId="8" fillId="0" borderId="24" xfId="0" applyFont="1" applyBorder="1" applyAlignment="1">
      <alignment horizontal="left" vertical="top"/>
    </xf>
    <xf numFmtId="0" fontId="7" fillId="0" borderId="18" xfId="0" applyFont="1" applyFill="1" applyBorder="1" applyAlignment="1">
      <alignment vertical="top" wrapText="1"/>
    </xf>
    <xf numFmtId="0" fontId="7" fillId="0" borderId="19" xfId="0" applyFont="1" applyBorder="1" applyAlignment="1">
      <alignment vertical="top"/>
    </xf>
    <xf numFmtId="165" fontId="7" fillId="0" borderId="19" xfId="0" applyNumberFormat="1" applyFont="1" applyBorder="1" applyAlignment="1">
      <alignment vertical="top"/>
    </xf>
    <xf numFmtId="165" fontId="7" fillId="0" borderId="21" xfId="0" applyNumberFormat="1" applyFont="1" applyBorder="1" applyAlignment="1">
      <alignment vertical="top"/>
    </xf>
    <xf numFmtId="0" fontId="7" fillId="3" borderId="14" xfId="9" applyFont="1" applyBorder="1" applyAlignment="1">
      <alignment horizontal="left" vertical="top"/>
    </xf>
    <xf numFmtId="165" fontId="7" fillId="3" borderId="14" xfId="2" applyNumberFormat="1" applyFont="1" applyFill="1" applyBorder="1" applyAlignment="1">
      <alignment horizontal="left" vertical="top"/>
    </xf>
    <xf numFmtId="0" fontId="7" fillId="3" borderId="6" xfId="9" applyFont="1" applyBorder="1" applyAlignment="1">
      <alignment horizontal="left" vertical="top"/>
    </xf>
    <xf numFmtId="165" fontId="7" fillId="3" borderId="6" xfId="2" applyNumberFormat="1" applyFont="1" applyFill="1" applyBorder="1" applyAlignment="1">
      <alignment horizontal="left" vertical="top"/>
    </xf>
    <xf numFmtId="165" fontId="7" fillId="3" borderId="6" xfId="9" applyNumberFormat="1" applyFont="1" applyBorder="1" applyAlignment="1">
      <alignment horizontal="left" vertical="top"/>
    </xf>
    <xf numFmtId="165" fontId="7" fillId="3" borderId="4" xfId="9" applyNumberFormat="1" applyFont="1" applyBorder="1" applyAlignment="1">
      <alignment vertical="top"/>
    </xf>
    <xf numFmtId="0" fontId="7" fillId="0" borderId="0" xfId="0" applyFont="1"/>
    <xf numFmtId="0" fontId="11" fillId="0" borderId="4" xfId="0" applyFont="1" applyFill="1" applyBorder="1" applyAlignment="1">
      <alignment horizontal="left" vertical="center" wrapText="1"/>
    </xf>
    <xf numFmtId="0" fontId="8" fillId="0" borderId="2" xfId="5" applyFont="1" applyAlignment="1">
      <alignment wrapText="1"/>
    </xf>
    <xf numFmtId="165" fontId="7" fillId="0" borderId="0" xfId="2" applyNumberFormat="1" applyFont="1" applyAlignment="1">
      <alignment wrapText="1"/>
    </xf>
    <xf numFmtId="0" fontId="7" fillId="0" borderId="0" xfId="0" applyFont="1" applyFill="1" applyAlignment="1">
      <alignment wrapText="1"/>
    </xf>
    <xf numFmtId="0" fontId="8" fillId="0" borderId="3" xfId="7" applyFont="1" applyAlignment="1">
      <alignment wrapText="1"/>
    </xf>
    <xf numFmtId="165" fontId="8" fillId="0" borderId="3" xfId="7" applyNumberFormat="1" applyFont="1" applyAlignment="1">
      <alignment wrapText="1"/>
    </xf>
    <xf numFmtId="0" fontId="7" fillId="4" borderId="4" xfId="10" applyFont="1" applyBorder="1" applyAlignment="1">
      <alignment horizontal="center" vertical="center" wrapText="1"/>
    </xf>
    <xf numFmtId="166" fontId="7" fillId="0" borderId="0" xfId="1" applyNumberFormat="1" applyFont="1"/>
    <xf numFmtId="166" fontId="7" fillId="0" borderId="0" xfId="0" applyNumberFormat="1" applyFont="1"/>
    <xf numFmtId="9" fontId="7" fillId="0" borderId="0" xfId="0" applyNumberFormat="1" applyFont="1"/>
    <xf numFmtId="165" fontId="7" fillId="0" borderId="0" xfId="2" applyNumberFormat="1" applyFont="1"/>
    <xf numFmtId="165" fontId="7" fillId="0" borderId="0" xfId="0" applyNumberFormat="1" applyFont="1"/>
    <xf numFmtId="0" fontId="8" fillId="0" borderId="3" xfId="7" applyFont="1"/>
    <xf numFmtId="44" fontId="8" fillId="0" borderId="3" xfId="7" applyNumberFormat="1" applyFont="1"/>
    <xf numFmtId="166" fontId="8" fillId="0" borderId="3" xfId="1" applyNumberFormat="1" applyFont="1" applyBorder="1"/>
    <xf numFmtId="165" fontId="8" fillId="0" borderId="3" xfId="7" applyNumberFormat="1" applyFont="1"/>
    <xf numFmtId="2" fontId="7" fillId="0" borderId="0" xfId="0" applyNumberFormat="1" applyFont="1"/>
    <xf numFmtId="0" fontId="7" fillId="4" borderId="4" xfId="10" applyFont="1" applyBorder="1" applyAlignment="1">
      <alignment wrapText="1"/>
    </xf>
    <xf numFmtId="0" fontId="8" fillId="0" borderId="0" xfId="6" applyFont="1"/>
    <xf numFmtId="0" fontId="8" fillId="0" borderId="0" xfId="6" applyFont="1" applyAlignment="1">
      <alignment wrapText="1"/>
    </xf>
    <xf numFmtId="0" fontId="7" fillId="0" borderId="4" xfId="0" applyFont="1" applyBorder="1" applyAlignment="1">
      <alignment wrapText="1"/>
    </xf>
    <xf numFmtId="44" fontId="7" fillId="0" borderId="4" xfId="0" applyNumberFormat="1" applyFont="1" applyBorder="1"/>
    <xf numFmtId="0" fontId="7" fillId="0" borderId="4" xfId="0" applyFont="1" applyFill="1" applyBorder="1" applyAlignment="1">
      <alignment wrapText="1"/>
    </xf>
    <xf numFmtId="0" fontId="14" fillId="0" borderId="4" xfId="11" applyFont="1" applyBorder="1" applyAlignment="1">
      <alignment wrapText="1"/>
    </xf>
    <xf numFmtId="9" fontId="8" fillId="0" borderId="10" xfId="7" applyNumberFormat="1" applyFont="1" applyBorder="1"/>
    <xf numFmtId="0" fontId="8" fillId="0" borderId="10" xfId="7" applyFont="1" applyBorder="1"/>
    <xf numFmtId="1" fontId="7" fillId="0" borderId="4" xfId="2" applyNumberFormat="1" applyFont="1" applyBorder="1"/>
    <xf numFmtId="2" fontId="7" fillId="0" borderId="4" xfId="2" applyNumberFormat="1" applyFont="1" applyBorder="1"/>
    <xf numFmtId="2" fontId="7" fillId="0" borderId="4" xfId="0" applyNumberFormat="1" applyFont="1" applyBorder="1"/>
    <xf numFmtId="0" fontId="7" fillId="0" borderId="0" xfId="0" applyFont="1" applyAlignment="1">
      <alignment horizontal="left" wrapText="1"/>
    </xf>
    <xf numFmtId="2" fontId="7" fillId="0" borderId="5" xfId="0" applyNumberFormat="1" applyFont="1" applyBorder="1"/>
    <xf numFmtId="2" fontId="15" fillId="0" borderId="4" xfId="0" applyNumberFormat="1" applyFont="1" applyBorder="1"/>
    <xf numFmtId="0" fontId="7" fillId="0" borderId="4" xfId="0" applyFont="1" applyBorder="1" applyAlignment="1">
      <alignment horizontal="left"/>
    </xf>
    <xf numFmtId="170" fontId="15" fillId="0" borderId="4" xfId="0" applyNumberFormat="1" applyFont="1" applyBorder="1"/>
    <xf numFmtId="165" fontId="7" fillId="0" borderId="4" xfId="0" applyNumberFormat="1" applyFont="1" applyBorder="1"/>
    <xf numFmtId="0" fontId="7" fillId="0" borderId="20" xfId="0" applyFont="1" applyFill="1" applyBorder="1" applyAlignment="1">
      <alignment wrapText="1"/>
    </xf>
    <xf numFmtId="0" fontId="7" fillId="0" borderId="0" xfId="0" applyFont="1" applyFill="1" applyBorder="1" applyAlignment="1">
      <alignment wrapText="1"/>
    </xf>
    <xf numFmtId="0" fontId="14" fillId="0" borderId="4" xfId="11" applyFont="1" applyFill="1" applyBorder="1" applyAlignment="1">
      <alignment wrapText="1"/>
    </xf>
    <xf numFmtId="0" fontId="7" fillId="0" borderId="4" xfId="0" applyFont="1" applyFill="1" applyBorder="1" applyAlignment="1">
      <alignment horizontal="left" wrapText="1"/>
    </xf>
    <xf numFmtId="0" fontId="7" fillId="0" borderId="4" xfId="0" applyFont="1" applyFill="1" applyBorder="1" applyAlignment="1">
      <alignment horizontal="left" vertical="center" wrapText="1"/>
    </xf>
    <xf numFmtId="165" fontId="7" fillId="0" borderId="5" xfId="2" applyNumberFormat="1" applyFont="1" applyBorder="1"/>
    <xf numFmtId="0" fontId="7" fillId="0" borderId="6" xfId="0" applyFont="1" applyBorder="1" applyAlignment="1">
      <alignment horizontal="left"/>
    </xf>
    <xf numFmtId="0" fontId="7" fillId="0" borderId="0" xfId="0" applyFont="1" applyBorder="1" applyAlignment="1">
      <alignment horizontal="left"/>
    </xf>
    <xf numFmtId="0" fontId="7" fillId="0" borderId="0" xfId="0" applyFont="1" applyBorder="1"/>
    <xf numFmtId="43" fontId="7" fillId="0" borderId="4" xfId="1" applyNumberFormat="1" applyFont="1" applyBorder="1"/>
    <xf numFmtId="2" fontId="7" fillId="0" borderId="4" xfId="0" applyNumberFormat="1" applyFont="1" applyBorder="1" applyAlignment="1">
      <alignment horizontal="left"/>
    </xf>
    <xf numFmtId="171" fontId="7" fillId="0" borderId="0" xfId="2" applyNumberFormat="1" applyFont="1"/>
    <xf numFmtId="44" fontId="7" fillId="0" borderId="0" xfId="0" applyNumberFormat="1" applyFont="1" applyAlignment="1">
      <alignment horizontal="left"/>
    </xf>
    <xf numFmtId="172" fontId="7" fillId="0" borderId="0" xfId="1" applyNumberFormat="1" applyFont="1"/>
    <xf numFmtId="172" fontId="8" fillId="0" borderId="3" xfId="1" applyNumberFormat="1" applyFont="1" applyBorder="1"/>
    <xf numFmtId="43" fontId="7" fillId="0" borderId="0" xfId="0" applyNumberFormat="1" applyFont="1"/>
    <xf numFmtId="2" fontId="7" fillId="0" borderId="0" xfId="2" applyNumberFormat="1" applyFont="1"/>
    <xf numFmtId="165" fontId="7" fillId="0" borderId="0" xfId="0" applyNumberFormat="1" applyFont="1" applyAlignment="1">
      <alignment horizontal="left"/>
    </xf>
    <xf numFmtId="2" fontId="8" fillId="0" borderId="3" xfId="7" applyNumberFormat="1" applyFont="1"/>
    <xf numFmtId="170" fontId="7" fillId="0" borderId="0" xfId="2" applyNumberFormat="1" applyFont="1"/>
    <xf numFmtId="170" fontId="8" fillId="0" borderId="3" xfId="7" applyNumberFormat="1" applyFont="1"/>
    <xf numFmtId="0" fontId="0" fillId="0" borderId="4" xfId="0" applyFill="1" applyBorder="1" applyAlignment="1">
      <alignment vertical="top" wrapText="1"/>
    </xf>
    <xf numFmtId="44" fontId="5" fillId="0" borderId="3" xfId="7" applyNumberFormat="1" applyFill="1" applyAlignment="1">
      <alignment horizontal="left" vertical="center"/>
    </xf>
    <xf numFmtId="49" fontId="11" fillId="0" borderId="4" xfId="0" applyNumberFormat="1" applyFont="1" applyFill="1" applyBorder="1" applyAlignment="1">
      <alignment horizontal="left" vertical="center" wrapText="1"/>
    </xf>
    <xf numFmtId="0" fontId="11" fillId="0" borderId="4" xfId="0" applyFont="1" applyFill="1" applyBorder="1" applyAlignment="1">
      <alignment vertical="center" wrapText="1"/>
    </xf>
    <xf numFmtId="0" fontId="7" fillId="0" borderId="4" xfId="0" applyFont="1" applyBorder="1" applyAlignment="1">
      <alignment horizontal="right" wrapText="1"/>
    </xf>
    <xf numFmtId="10" fontId="7" fillId="0" borderId="4" xfId="0" applyNumberFormat="1" applyFont="1" applyFill="1" applyBorder="1"/>
    <xf numFmtId="44" fontId="7" fillId="0" borderId="4" xfId="2" applyNumberFormat="1" applyFont="1" applyBorder="1"/>
    <xf numFmtId="165" fontId="8" fillId="0" borderId="3" xfId="2" applyNumberFormat="1" applyFont="1" applyBorder="1"/>
    <xf numFmtId="0" fontId="4" fillId="0" borderId="0" xfId="5" applyBorder="1" applyAlignment="1">
      <alignment horizontal="center"/>
    </xf>
    <xf numFmtId="0" fontId="8" fillId="0" borderId="4" xfId="0" applyFont="1" applyBorder="1"/>
    <xf numFmtId="0" fontId="7" fillId="0" borderId="4" xfId="0" applyFont="1" applyFill="1" applyBorder="1"/>
    <xf numFmtId="0" fontId="8" fillId="0" borderId="4" xfId="0" applyFont="1" applyBorder="1" applyAlignment="1">
      <alignment wrapText="1"/>
    </xf>
    <xf numFmtId="44" fontId="7" fillId="0" borderId="4" xfId="2" applyFont="1" applyBorder="1"/>
    <xf numFmtId="10" fontId="7" fillId="0" borderId="4" xfId="0" applyNumberFormat="1" applyFont="1" applyBorder="1"/>
    <xf numFmtId="0" fontId="7" fillId="0" borderId="4" xfId="2" applyNumberFormat="1" applyFont="1" applyBorder="1"/>
    <xf numFmtId="0" fontId="7" fillId="0" borderId="4" xfId="0" applyFont="1" applyBorder="1" applyAlignment="1">
      <alignment horizontal="left" indent="1"/>
    </xf>
    <xf numFmtId="169" fontId="7" fillId="0" borderId="4" xfId="0" applyNumberFormat="1" applyFont="1" applyFill="1" applyBorder="1" applyAlignment="1">
      <alignment wrapText="1"/>
    </xf>
    <xf numFmtId="165" fontId="0" fillId="0" borderId="0" xfId="0" applyNumberFormat="1"/>
    <xf numFmtId="165" fontId="0" fillId="0" borderId="0" xfId="2" applyNumberFormat="1" applyFont="1"/>
    <xf numFmtId="44" fontId="0" fillId="0" borderId="0" xfId="2" applyFont="1"/>
    <xf numFmtId="44" fontId="0" fillId="0" borderId="0" xfId="0" applyNumberFormat="1"/>
    <xf numFmtId="0" fontId="5" fillId="0" borderId="3" xfId="7"/>
    <xf numFmtId="165" fontId="5" fillId="0" borderId="3" xfId="7" applyNumberFormat="1"/>
    <xf numFmtId="0" fontId="7" fillId="0" borderId="4" xfId="0" applyFont="1" applyBorder="1" applyAlignment="1">
      <alignment horizontal="left" wrapText="1"/>
    </xf>
    <xf numFmtId="0" fontId="8" fillId="0" borderId="29" xfId="5" applyFont="1" applyBorder="1"/>
    <xf numFmtId="0" fontId="8" fillId="0" borderId="29" xfId="5" applyFont="1" applyBorder="1" applyAlignment="1">
      <alignment vertical="center" wrapText="1"/>
    </xf>
    <xf numFmtId="0" fontId="7" fillId="0" borderId="4" xfId="11" applyFont="1" applyBorder="1" applyAlignment="1">
      <alignment wrapText="1"/>
    </xf>
    <xf numFmtId="0" fontId="7" fillId="4" borderId="20" xfId="10" applyFont="1" applyBorder="1" applyAlignment="1">
      <alignment horizontal="center" wrapText="1"/>
    </xf>
    <xf numFmtId="0" fontId="7" fillId="4" borderId="0" xfId="10" applyFont="1" applyBorder="1" applyAlignment="1">
      <alignment horizontal="center" wrapText="1"/>
    </xf>
    <xf numFmtId="0" fontId="7" fillId="4" borderId="8" xfId="10" applyFont="1" applyBorder="1" applyAlignment="1">
      <alignment horizontal="center" vertical="center" wrapText="1"/>
    </xf>
    <xf numFmtId="49" fontId="16" fillId="0" borderId="4" xfId="0" applyNumberFormat="1" applyFont="1" applyFill="1" applyBorder="1" applyAlignment="1">
      <alignment horizontal="left" vertical="center"/>
    </xf>
    <xf numFmtId="0" fontId="16" fillId="0" borderId="4" xfId="0" applyNumberFormat="1" applyFont="1" applyFill="1" applyBorder="1" applyAlignment="1">
      <alignment horizontal="left" vertical="center"/>
    </xf>
    <xf numFmtId="44" fontId="16" fillId="0" borderId="4" xfId="0" applyNumberFormat="1" applyFont="1" applyFill="1" applyBorder="1" applyAlignment="1">
      <alignment horizontal="left" vertical="center"/>
    </xf>
    <xf numFmtId="0" fontId="16" fillId="0" borderId="4" xfId="0" applyFont="1" applyFill="1" applyBorder="1" applyAlignment="1">
      <alignment horizontal="left" vertical="center"/>
    </xf>
    <xf numFmtId="0" fontId="16" fillId="0" borderId="4" xfId="0" applyFont="1" applyFill="1" applyBorder="1" applyAlignment="1">
      <alignment horizontal="left" vertical="center" wrapText="1"/>
    </xf>
    <xf numFmtId="0" fontId="16" fillId="0" borderId="4" xfId="0" applyFont="1" applyFill="1" applyBorder="1" applyAlignment="1">
      <alignment horizontal="left" wrapText="1"/>
    </xf>
    <xf numFmtId="44" fontId="16" fillId="0" borderId="4" xfId="2" applyFont="1" applyFill="1" applyBorder="1" applyAlignment="1">
      <alignment horizontal="left" vertical="center"/>
    </xf>
    <xf numFmtId="3" fontId="16" fillId="0" borderId="4" xfId="1" applyNumberFormat="1" applyFont="1" applyFill="1" applyBorder="1" applyAlignment="1">
      <alignment horizontal="center" vertical="center"/>
    </xf>
    <xf numFmtId="44" fontId="16" fillId="0" borderId="4" xfId="2" applyFont="1" applyFill="1" applyBorder="1" applyAlignment="1">
      <alignment horizontal="left" vertical="center" wrapText="1"/>
    </xf>
    <xf numFmtId="0" fontId="16" fillId="0" borderId="4" xfId="0" applyNumberFormat="1" applyFont="1" applyFill="1" applyBorder="1" applyAlignment="1">
      <alignment horizontal="left" vertical="center" wrapText="1"/>
    </xf>
    <xf numFmtId="0" fontId="7" fillId="0" borderId="0" xfId="0" applyFont="1" applyAlignment="1">
      <alignment wrapText="1"/>
    </xf>
    <xf numFmtId="0" fontId="0" fillId="0" borderId="0" xfId="0" applyAlignment="1">
      <alignment wrapText="1"/>
    </xf>
    <xf numFmtId="0" fontId="16" fillId="0" borderId="4" xfId="0" applyFont="1" applyFill="1" applyBorder="1" applyAlignment="1">
      <alignment horizontal="left"/>
    </xf>
    <xf numFmtId="0" fontId="16" fillId="0" borderId="0" xfId="0" applyFont="1" applyFill="1" applyBorder="1" applyAlignment="1">
      <alignment horizontal="left" vertical="center"/>
    </xf>
    <xf numFmtId="0" fontId="1" fillId="7" borderId="4" xfId="8" applyFill="1" applyBorder="1"/>
    <xf numFmtId="164" fontId="1" fillId="7" borderId="4" xfId="8" applyNumberFormat="1" applyFill="1" applyBorder="1"/>
    <xf numFmtId="44" fontId="7" fillId="0" borderId="0" xfId="2" applyNumberFormat="1" applyFont="1" applyAlignment="1">
      <alignment wrapText="1"/>
    </xf>
    <xf numFmtId="44" fontId="16" fillId="0" borderId="5" xfId="0" applyNumberFormat="1" applyFont="1" applyFill="1" applyBorder="1" applyAlignment="1">
      <alignment horizontal="left" vertical="center"/>
    </xf>
    <xf numFmtId="0" fontId="16" fillId="0" borderId="0" xfId="0" applyFont="1" applyFill="1" applyBorder="1" applyAlignment="1">
      <alignment horizontal="right" vertical="center"/>
    </xf>
    <xf numFmtId="44" fontId="16" fillId="0" borderId="0" xfId="0" applyNumberFormat="1" applyFont="1" applyFill="1" applyBorder="1" applyAlignment="1">
      <alignment horizontal="left" vertical="center"/>
    </xf>
    <xf numFmtId="0" fontId="16" fillId="0" borderId="30" xfId="0" applyFont="1" applyFill="1" applyBorder="1" applyAlignment="1">
      <alignment horizontal="right" vertical="center"/>
    </xf>
    <xf numFmtId="44" fontId="16" fillId="0" borderId="30" xfId="0" applyNumberFormat="1" applyFont="1" applyFill="1" applyBorder="1" applyAlignment="1">
      <alignment horizontal="left" vertical="center"/>
    </xf>
    <xf numFmtId="0" fontId="0" fillId="0" borderId="0" xfId="2" applyNumberFormat="1" applyFont="1"/>
    <xf numFmtId="44" fontId="7" fillId="0" borderId="0" xfId="0" applyNumberFormat="1" applyFont="1"/>
    <xf numFmtId="44" fontId="5" fillId="0" borderId="33" xfId="0" applyNumberFormat="1" applyFont="1" applyFill="1" applyBorder="1" applyAlignment="1">
      <alignment horizontal="left" vertical="center"/>
    </xf>
    <xf numFmtId="44" fontId="5" fillId="0" borderId="4" xfId="0" applyNumberFormat="1" applyFont="1" applyFill="1" applyBorder="1" applyAlignment="1">
      <alignment horizontal="left" vertical="center"/>
    </xf>
    <xf numFmtId="165" fontId="7" fillId="0" borderId="19" xfId="2" applyNumberFormat="1" applyFont="1" applyFill="1" applyBorder="1" applyAlignment="1">
      <alignment vertical="top"/>
    </xf>
    <xf numFmtId="165" fontId="7" fillId="0" borderId="21" xfId="2" applyNumberFormat="1" applyFont="1" applyFill="1" applyBorder="1" applyAlignment="1">
      <alignment vertical="top"/>
    </xf>
    <xf numFmtId="0" fontId="7" fillId="0" borderId="39" xfId="0" applyFont="1" applyBorder="1" applyAlignment="1">
      <alignment vertical="top"/>
    </xf>
    <xf numFmtId="44" fontId="7" fillId="3" borderId="14" xfId="2" applyNumberFormat="1" applyFont="1" applyFill="1" applyBorder="1" applyAlignment="1">
      <alignment horizontal="left" vertical="top"/>
    </xf>
    <xf numFmtId="0" fontId="8" fillId="0" borderId="29" xfId="5" applyFont="1" applyBorder="1" applyAlignment="1">
      <alignment horizontal="center" vertical="center" wrapText="1"/>
    </xf>
    <xf numFmtId="167" fontId="7" fillId="0" borderId="0" xfId="0" applyNumberFormat="1" applyFont="1" applyAlignment="1">
      <alignment horizontal="center"/>
    </xf>
    <xf numFmtId="0" fontId="7" fillId="0" borderId="0" xfId="0" applyFont="1" applyAlignment="1">
      <alignment horizontal="center"/>
    </xf>
    <xf numFmtId="43" fontId="7" fillId="0" borderId="4" xfId="1" applyFont="1" applyFill="1" applyBorder="1"/>
    <xf numFmtId="9" fontId="7" fillId="0" borderId="4" xfId="0" applyNumberFormat="1" applyFont="1" applyFill="1" applyBorder="1" applyAlignment="1">
      <alignment horizontal="center"/>
    </xf>
    <xf numFmtId="9" fontId="7" fillId="0" borderId="4" xfId="0" applyNumberFormat="1" applyFont="1" applyFill="1" applyBorder="1" applyAlignment="1">
      <alignment horizontal="center" vertical="center"/>
    </xf>
    <xf numFmtId="10" fontId="7" fillId="0" borderId="4" xfId="12" applyNumberFormat="1" applyFont="1" applyFill="1" applyBorder="1" applyAlignment="1">
      <alignment horizontal="center" vertical="center"/>
    </xf>
    <xf numFmtId="174" fontId="7" fillId="0" borderId="4" xfId="1" applyNumberFormat="1" applyFont="1" applyFill="1" applyBorder="1" applyAlignment="1">
      <alignment horizontal="center" vertical="center"/>
    </xf>
    <xf numFmtId="10" fontId="7" fillId="0" borderId="4" xfId="0" applyNumberFormat="1" applyFont="1" applyFill="1" applyBorder="1" applyAlignment="1">
      <alignment horizontal="center" vertical="center"/>
    </xf>
    <xf numFmtId="43" fontId="7" fillId="0" borderId="4" xfId="1" applyFont="1" applyFill="1" applyBorder="1" applyAlignment="1">
      <alignment horizontal="center" vertical="center"/>
    </xf>
    <xf numFmtId="0" fontId="7" fillId="0" borderId="4" xfId="0" applyFont="1" applyBorder="1" applyAlignment="1">
      <alignment horizontal="center" vertical="center" wrapText="1"/>
    </xf>
    <xf numFmtId="0" fontId="7" fillId="0" borderId="33" xfId="0" applyFont="1" applyBorder="1"/>
    <xf numFmtId="43" fontId="7" fillId="0" borderId="33" xfId="1" applyFont="1" applyBorder="1"/>
    <xf numFmtId="43" fontId="8" fillId="0" borderId="33" xfId="1" applyFont="1" applyBorder="1" applyAlignment="1">
      <alignment vertical="center"/>
    </xf>
    <xf numFmtId="0" fontId="7" fillId="4" borderId="6" xfId="10" applyFont="1" applyBorder="1" applyAlignment="1">
      <alignment horizontal="center" wrapText="1"/>
    </xf>
    <xf numFmtId="0" fontId="7" fillId="4" borderId="9" xfId="10" applyFont="1" applyBorder="1" applyAlignment="1">
      <alignment horizontal="center" wrapText="1"/>
    </xf>
    <xf numFmtId="0" fontId="7" fillId="4" borderId="9" xfId="10" applyFont="1" applyBorder="1" applyAlignment="1">
      <alignment horizontal="center" vertical="center" wrapText="1"/>
    </xf>
    <xf numFmtId="43" fontId="7" fillId="0" borderId="4" xfId="1" applyFont="1" applyBorder="1"/>
    <xf numFmtId="0" fontId="8" fillId="0" borderId="0" xfId="5" applyFont="1" applyBorder="1" applyAlignment="1">
      <alignment vertical="center" wrapText="1"/>
    </xf>
    <xf numFmtId="0" fontId="8" fillId="0" borderId="0" xfId="5" applyFont="1" applyBorder="1" applyAlignment="1">
      <alignment horizontal="center" vertical="center" wrapText="1"/>
    </xf>
    <xf numFmtId="0" fontId="7" fillId="0" borderId="0" xfId="0" applyFont="1" applyAlignment="1">
      <alignment horizontal="center" vertical="center"/>
    </xf>
    <xf numFmtId="1" fontId="7" fillId="0" borderId="0" xfId="0" applyNumberFormat="1" applyFont="1" applyAlignment="1">
      <alignment horizontal="center" vertical="center"/>
    </xf>
    <xf numFmtId="167" fontId="7" fillId="0" borderId="0" xfId="0" applyNumberFormat="1" applyFont="1" applyAlignment="1">
      <alignment horizontal="center" vertical="center"/>
    </xf>
    <xf numFmtId="1" fontId="7" fillId="0" borderId="0" xfId="0" applyNumberFormat="1" applyFont="1" applyFill="1" applyAlignment="1">
      <alignment horizontal="center" vertical="center"/>
    </xf>
    <xf numFmtId="0" fontId="7" fillId="0" borderId="0" xfId="0" applyFont="1" applyFill="1" applyAlignment="1">
      <alignment horizontal="center" vertical="center"/>
    </xf>
    <xf numFmtId="0" fontId="8" fillId="0" borderId="0" xfId="5" applyFont="1" applyBorder="1" applyAlignment="1">
      <alignment wrapText="1"/>
    </xf>
    <xf numFmtId="0" fontId="8" fillId="0" borderId="0" xfId="5" applyFont="1" applyBorder="1" applyAlignment="1">
      <alignment horizontal="center" wrapText="1"/>
    </xf>
    <xf numFmtId="0" fontId="8" fillId="8" borderId="0" xfId="5" applyFont="1" applyFill="1" applyBorder="1" applyAlignment="1">
      <alignment horizontal="center" wrapText="1"/>
    </xf>
    <xf numFmtId="0" fontId="7" fillId="8" borderId="0" xfId="0" applyFont="1" applyFill="1" applyAlignment="1">
      <alignment horizontal="center" vertical="center"/>
    </xf>
    <xf numFmtId="0" fontId="8" fillId="8" borderId="3" xfId="7" applyFont="1" applyFill="1"/>
    <xf numFmtId="1" fontId="7" fillId="8" borderId="0" xfId="0" applyNumberFormat="1" applyFont="1" applyFill="1" applyAlignment="1">
      <alignment horizontal="center" vertical="center"/>
    </xf>
    <xf numFmtId="167" fontId="7" fillId="8" borderId="0" xfId="0" applyNumberFormat="1" applyFont="1" applyFill="1" applyAlignment="1">
      <alignment horizontal="center" vertical="center"/>
    </xf>
    <xf numFmtId="9" fontId="8" fillId="0" borderId="10" xfId="7" applyNumberFormat="1" applyFont="1" applyBorder="1" applyAlignment="1">
      <alignment horizontal="center"/>
    </xf>
    <xf numFmtId="174" fontId="7" fillId="0" borderId="4" xfId="12" applyNumberFormat="1" applyFont="1" applyFill="1" applyBorder="1"/>
    <xf numFmtId="43" fontId="8" fillId="0" borderId="10" xfId="7" applyNumberFormat="1" applyFont="1" applyBorder="1"/>
    <xf numFmtId="0" fontId="0" fillId="0" borderId="0" xfId="0" applyAlignment="1">
      <alignment vertical="center"/>
    </xf>
    <xf numFmtId="9" fontId="0" fillId="0" borderId="0" xfId="12" applyFont="1" applyAlignment="1">
      <alignment vertical="center"/>
    </xf>
    <xf numFmtId="169" fontId="0" fillId="0" borderId="0" xfId="12" applyNumberFormat="1" applyFont="1" applyAlignment="1">
      <alignment vertical="center"/>
    </xf>
    <xf numFmtId="173" fontId="0" fillId="0" borderId="0" xfId="0" applyNumberFormat="1" applyAlignment="1">
      <alignment vertical="center"/>
    </xf>
    <xf numFmtId="0" fontId="5" fillId="0" borderId="0" xfId="0" applyFont="1"/>
    <xf numFmtId="0" fontId="4" fillId="0" borderId="0" xfId="5" applyBorder="1" applyAlignment="1">
      <alignment horizontal="center"/>
    </xf>
    <xf numFmtId="44" fontId="5" fillId="0" borderId="0" xfId="0" applyNumberFormat="1" applyFont="1"/>
    <xf numFmtId="0" fontId="5" fillId="0" borderId="0" xfId="0" applyFont="1" applyAlignment="1">
      <alignment horizontal="right"/>
    </xf>
    <xf numFmtId="0" fontId="7" fillId="9" borderId="39" xfId="0" applyFont="1" applyFill="1" applyBorder="1" applyAlignment="1">
      <alignment vertical="top" wrapText="1"/>
    </xf>
    <xf numFmtId="165" fontId="7" fillId="9" borderId="39" xfId="2" applyNumberFormat="1" applyFont="1" applyFill="1" applyBorder="1" applyAlignment="1">
      <alignment vertical="top"/>
    </xf>
    <xf numFmtId="0" fontId="0" fillId="0" borderId="4" xfId="0" applyFill="1" applyBorder="1" applyAlignment="1">
      <alignment horizontal="left" vertical="top" wrapText="1"/>
    </xf>
    <xf numFmtId="0" fontId="8" fillId="0" borderId="3" xfId="7" applyFont="1" applyAlignment="1">
      <alignment horizontal="left" wrapText="1"/>
    </xf>
    <xf numFmtId="0" fontId="7" fillId="0" borderId="4" xfId="0" applyFont="1" applyBorder="1" applyAlignment="1">
      <alignment horizontal="left"/>
    </xf>
    <xf numFmtId="167" fontId="8" fillId="0" borderId="3" xfId="7" applyNumberFormat="1" applyFont="1"/>
    <xf numFmtId="0" fontId="7" fillId="0" borderId="16" xfId="0" applyFont="1" applyFill="1" applyBorder="1" applyAlignment="1">
      <alignment vertical="top" wrapText="1"/>
    </xf>
    <xf numFmtId="169" fontId="7" fillId="0" borderId="4" xfId="12" applyNumberFormat="1" applyFont="1" applyFill="1" applyBorder="1"/>
    <xf numFmtId="10" fontId="7" fillId="0" borderId="4" xfId="12" applyNumberFormat="1" applyFont="1" applyFill="1" applyBorder="1"/>
    <xf numFmtId="44" fontId="7" fillId="0" borderId="0" xfId="2" applyFont="1"/>
    <xf numFmtId="0" fontId="8" fillId="0" borderId="0" xfId="0" applyFont="1" applyBorder="1"/>
    <xf numFmtId="0" fontId="18" fillId="0" borderId="0" xfId="0" applyFont="1" applyBorder="1"/>
    <xf numFmtId="169" fontId="7" fillId="0" borderId="0" xfId="0" applyNumberFormat="1" applyFont="1" applyFill="1" applyBorder="1" applyAlignment="1">
      <alignment wrapText="1"/>
    </xf>
    <xf numFmtId="0" fontId="8" fillId="0" borderId="0" xfId="0" applyFont="1" applyBorder="1" applyAlignment="1">
      <alignment wrapText="1"/>
    </xf>
    <xf numFmtId="44" fontId="7" fillId="0" borderId="0" xfId="2" applyFont="1" applyBorder="1"/>
    <xf numFmtId="0" fontId="7" fillId="0" borderId="0" xfId="0" applyFont="1" applyBorder="1" applyAlignment="1">
      <alignment wrapText="1"/>
    </xf>
    <xf numFmtId="0" fontId="7" fillId="0" borderId="0" xfId="2" applyNumberFormat="1" applyFont="1" applyBorder="1"/>
    <xf numFmtId="0" fontId="7" fillId="0" borderId="37" xfId="0" applyFont="1" applyFill="1" applyBorder="1" applyAlignment="1">
      <alignment vertical="top"/>
    </xf>
    <xf numFmtId="0" fontId="7" fillId="0" borderId="37" xfId="0" applyFont="1" applyFill="1" applyBorder="1" applyAlignment="1">
      <alignment vertical="top" wrapText="1"/>
    </xf>
    <xf numFmtId="165" fontId="7" fillId="0" borderId="37" xfId="2" applyNumberFormat="1" applyFont="1" applyFill="1" applyBorder="1" applyAlignment="1">
      <alignment vertical="top"/>
    </xf>
    <xf numFmtId="165" fontId="7" fillId="0" borderId="38" xfId="2" applyNumberFormat="1" applyFont="1" applyFill="1" applyBorder="1" applyAlignment="1">
      <alignment vertical="top"/>
    </xf>
    <xf numFmtId="0" fontId="10" fillId="0" borderId="0" xfId="11" applyAlignment="1">
      <alignment wrapText="1"/>
    </xf>
    <xf numFmtId="169" fontId="7" fillId="0" borderId="4" xfId="0" applyNumberFormat="1" applyFont="1" applyFill="1" applyBorder="1"/>
    <xf numFmtId="0" fontId="7" fillId="6" borderId="0" xfId="0" applyFont="1" applyFill="1" applyBorder="1" applyAlignment="1">
      <alignment wrapText="1"/>
    </xf>
    <xf numFmtId="167" fontId="7" fillId="0" borderId="4" xfId="0" applyNumberFormat="1" applyFont="1" applyBorder="1" applyAlignment="1">
      <alignment horizontal="left"/>
    </xf>
    <xf numFmtId="174" fontId="7" fillId="0" borderId="0" xfId="1" applyNumberFormat="1" applyFont="1"/>
    <xf numFmtId="176" fontId="7" fillId="0" borderId="0" xfId="1" applyNumberFormat="1" applyFont="1"/>
    <xf numFmtId="174" fontId="8" fillId="0" borderId="3" xfId="1" applyNumberFormat="1" applyFont="1" applyBorder="1"/>
    <xf numFmtId="0" fontId="8" fillId="0" borderId="2" xfId="5" applyFont="1" applyAlignment="1"/>
    <xf numFmtId="177" fontId="7" fillId="0" borderId="0" xfId="2" applyNumberFormat="1" applyFont="1"/>
    <xf numFmtId="165" fontId="7" fillId="0" borderId="40" xfId="2" applyNumberFormat="1" applyFont="1" applyBorder="1" applyAlignment="1">
      <alignment vertical="top"/>
    </xf>
    <xf numFmtId="165" fontId="7" fillId="9" borderId="20" xfId="2" applyNumberFormat="1" applyFont="1" applyFill="1" applyBorder="1" applyAlignment="1">
      <alignment vertical="top"/>
    </xf>
    <xf numFmtId="165" fontId="7" fillId="0" borderId="41" xfId="2" applyNumberFormat="1" applyFont="1" applyBorder="1" applyAlignment="1">
      <alignment vertical="top"/>
    </xf>
    <xf numFmtId="175" fontId="7" fillId="0" borderId="42" xfId="1" applyNumberFormat="1" applyFont="1" applyBorder="1" applyAlignment="1">
      <alignment vertical="center"/>
    </xf>
    <xf numFmtId="0" fontId="7" fillId="0" borderId="18" xfId="0" applyFont="1" applyFill="1" applyBorder="1" applyAlignment="1">
      <alignment vertical="top"/>
    </xf>
    <xf numFmtId="165" fontId="7" fillId="0" borderId="18" xfId="2" applyNumberFormat="1" applyFont="1" applyFill="1" applyBorder="1" applyAlignment="1">
      <alignment vertical="top"/>
    </xf>
    <xf numFmtId="175" fontId="7" fillId="0" borderId="4" xfId="1" applyNumberFormat="1" applyFont="1" applyBorder="1" applyAlignment="1">
      <alignment vertical="center"/>
    </xf>
    <xf numFmtId="49" fontId="19" fillId="0" borderId="0" xfId="0" applyNumberFormat="1" applyFont="1" applyFill="1" applyAlignment="1">
      <alignment horizontal="left"/>
    </xf>
    <xf numFmtId="0" fontId="19" fillId="0" borderId="0" xfId="0" applyFont="1" applyFill="1" applyAlignment="1">
      <alignment horizontal="left"/>
    </xf>
    <xf numFmtId="168" fontId="19" fillId="0" borderId="0" xfId="0" applyNumberFormat="1" applyFont="1" applyAlignment="1">
      <alignment horizontal="center"/>
    </xf>
    <xf numFmtId="0" fontId="19" fillId="0" borderId="0" xfId="0" applyFont="1" applyAlignment="1">
      <alignment horizontal="center"/>
    </xf>
    <xf numFmtId="0" fontId="19" fillId="0" borderId="0" xfId="0" applyFont="1" applyFill="1" applyAlignment="1">
      <alignment horizontal="left" vertical="center"/>
    </xf>
    <xf numFmtId="44" fontId="17" fillId="0" borderId="4" xfId="0" applyNumberFormat="1" applyFont="1" applyFill="1" applyBorder="1" applyAlignment="1">
      <alignment horizontal="left" vertical="center"/>
    </xf>
    <xf numFmtId="178" fontId="7" fillId="0" borderId="0" xfId="1" applyNumberFormat="1" applyFont="1" applyAlignment="1">
      <alignment wrapText="1"/>
    </xf>
    <xf numFmtId="3" fontId="7" fillId="0" borderId="4" xfId="0" applyNumberFormat="1" applyFont="1" applyBorder="1"/>
    <xf numFmtId="1" fontId="7" fillId="0" borderId="0" xfId="0" applyNumberFormat="1" applyFont="1"/>
    <xf numFmtId="0" fontId="9" fillId="0" borderId="4" xfId="0" applyFont="1" applyBorder="1" applyAlignment="1">
      <alignment horizontal="left" vertical="top" wrapText="1"/>
    </xf>
    <xf numFmtId="0" fontId="0" fillId="0" borderId="4" xfId="0" applyFill="1" applyBorder="1" applyAlignment="1">
      <alignment horizontal="left" vertical="top" wrapText="1"/>
    </xf>
    <xf numFmtId="0" fontId="2" fillId="0" borderId="0" xfId="3" applyAlignment="1">
      <alignment horizontal="center"/>
    </xf>
    <xf numFmtId="0" fontId="3" fillId="0" borderId="1" xfId="4" applyAlignment="1">
      <alignment horizontal="center"/>
    </xf>
    <xf numFmtId="0" fontId="12" fillId="0" borderId="25" xfId="13" applyAlignment="1">
      <alignment horizontal="center"/>
    </xf>
    <xf numFmtId="43" fontId="0" fillId="0" borderId="5" xfId="0" applyNumberFormat="1" applyBorder="1" applyAlignment="1">
      <alignment horizontal="center" vertical="center"/>
    </xf>
    <xf numFmtId="0" fontId="0" fillId="0" borderId="39" xfId="0" applyBorder="1" applyAlignment="1">
      <alignment horizontal="center" vertical="center"/>
    </xf>
    <xf numFmtId="43" fontId="7" fillId="0" borderId="4" xfId="1" applyFont="1" applyBorder="1" applyAlignment="1">
      <alignment vertical="center"/>
    </xf>
    <xf numFmtId="0" fontId="3" fillId="0" borderId="26" xfId="4" applyBorder="1" applyAlignment="1">
      <alignment horizontal="center"/>
    </xf>
    <xf numFmtId="0" fontId="4" fillId="0" borderId="0" xfId="5" applyBorder="1" applyAlignment="1">
      <alignment horizontal="center"/>
    </xf>
    <xf numFmtId="43" fontId="7" fillId="0" borderId="42" xfId="1" applyFont="1" applyBorder="1" applyAlignment="1">
      <alignment horizontal="center" vertical="center"/>
    </xf>
    <xf numFmtId="43" fontId="7" fillId="0" borderId="43" xfId="1" applyFont="1" applyBorder="1" applyAlignment="1">
      <alignment horizontal="center" vertical="center"/>
    </xf>
    <xf numFmtId="0" fontId="8" fillId="0" borderId="22" xfId="0" applyFont="1" applyBorder="1" applyAlignment="1">
      <alignment horizontal="left" vertical="top"/>
    </xf>
    <xf numFmtId="0" fontId="8" fillId="0" borderId="23" xfId="0" applyFont="1" applyBorder="1" applyAlignment="1">
      <alignment horizontal="left" vertical="top"/>
    </xf>
    <xf numFmtId="0" fontId="8" fillId="0" borderId="32" xfId="0" applyFont="1" applyBorder="1" applyAlignment="1">
      <alignment horizontal="left" vertical="top"/>
    </xf>
    <xf numFmtId="0" fontId="0" fillId="0" borderId="31" xfId="0" applyBorder="1" applyAlignment="1">
      <alignment horizontal="left" wrapText="1"/>
    </xf>
    <xf numFmtId="0" fontId="0" fillId="0" borderId="0" xfId="0" applyAlignment="1">
      <alignment horizontal="left" vertical="center" wrapText="1"/>
    </xf>
    <xf numFmtId="0" fontId="16" fillId="0" borderId="6" xfId="0" applyFont="1" applyFill="1" applyBorder="1" applyAlignment="1">
      <alignment horizontal="right" vertical="center"/>
    </xf>
    <xf numFmtId="0" fontId="16" fillId="0" borderId="9" xfId="0" applyFont="1" applyFill="1" applyBorder="1" applyAlignment="1">
      <alignment horizontal="right" vertical="center"/>
    </xf>
    <xf numFmtId="0" fontId="16" fillId="0" borderId="7" xfId="0" applyFont="1" applyFill="1" applyBorder="1" applyAlignment="1">
      <alignment horizontal="right" vertical="center"/>
    </xf>
    <xf numFmtId="0" fontId="4" fillId="0" borderId="2" xfId="5" applyAlignment="1">
      <alignment horizontal="center" wrapText="1"/>
    </xf>
    <xf numFmtId="0" fontId="16" fillId="0" borderId="11" xfId="0" applyFont="1" applyFill="1" applyBorder="1" applyAlignment="1">
      <alignment horizontal="right" vertical="center"/>
    </xf>
    <xf numFmtId="0" fontId="16" fillId="0" borderId="12" xfId="0" applyFont="1" applyFill="1" applyBorder="1" applyAlignment="1">
      <alignment horizontal="right" vertical="center"/>
    </xf>
    <xf numFmtId="0" fontId="16" fillId="0" borderId="13" xfId="0" applyFont="1" applyFill="1" applyBorder="1" applyAlignment="1">
      <alignment horizontal="right" vertical="center"/>
    </xf>
    <xf numFmtId="0" fontId="4" fillId="0" borderId="0" xfId="5" applyFont="1" applyBorder="1" applyAlignment="1">
      <alignment horizontal="center"/>
    </xf>
    <xf numFmtId="0" fontId="4" fillId="0" borderId="2" xfId="5" applyAlignment="1">
      <alignment horizontal="center"/>
    </xf>
    <xf numFmtId="49" fontId="16" fillId="0" borderId="4"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168" fontId="16" fillId="0" borderId="4" xfId="0" applyNumberFormat="1" applyFont="1" applyBorder="1" applyAlignment="1">
      <alignment horizontal="center" vertical="center"/>
    </xf>
    <xf numFmtId="0" fontId="16" fillId="0" borderId="4" xfId="0" applyFont="1" applyBorder="1" applyAlignment="1">
      <alignment horizontal="center" vertical="center"/>
    </xf>
    <xf numFmtId="0" fontId="16" fillId="0" borderId="5"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5" xfId="0" applyFont="1" applyFill="1" applyBorder="1" applyAlignment="1">
      <alignment horizontal="center" vertical="center"/>
    </xf>
    <xf numFmtId="0" fontId="16" fillId="0" borderId="15" xfId="0" applyFont="1" applyFill="1" applyBorder="1" applyAlignment="1">
      <alignment horizontal="center" vertical="center"/>
    </xf>
    <xf numFmtId="0" fontId="5" fillId="0" borderId="6" xfId="0" applyFont="1" applyFill="1" applyBorder="1" applyAlignment="1">
      <alignment horizontal="right" vertical="center"/>
    </xf>
    <xf numFmtId="0" fontId="5" fillId="0" borderId="9" xfId="0" applyFont="1" applyFill="1" applyBorder="1" applyAlignment="1">
      <alignment horizontal="right" vertical="center"/>
    </xf>
    <xf numFmtId="0" fontId="5" fillId="0" borderId="7" xfId="0" applyFont="1" applyFill="1" applyBorder="1" applyAlignment="1">
      <alignment horizontal="right" vertical="center"/>
    </xf>
    <xf numFmtId="0" fontId="17" fillId="0" borderId="6" xfId="0" applyFont="1" applyFill="1" applyBorder="1" applyAlignment="1">
      <alignment horizontal="right" vertical="center"/>
    </xf>
    <xf numFmtId="0" fontId="17" fillId="0" borderId="9" xfId="0" applyFont="1" applyFill="1" applyBorder="1" applyAlignment="1">
      <alignment horizontal="right" vertical="center"/>
    </xf>
    <xf numFmtId="0" fontId="17" fillId="0" borderId="7" xfId="0" applyFont="1" applyFill="1" applyBorder="1" applyAlignment="1">
      <alignment horizontal="right" vertical="center"/>
    </xf>
    <xf numFmtId="0" fontId="4" fillId="0" borderId="0" xfId="5" applyFont="1" applyFill="1" applyBorder="1" applyAlignment="1">
      <alignment horizontal="center"/>
    </xf>
    <xf numFmtId="0" fontId="4" fillId="0" borderId="2" xfId="5" applyFill="1" applyAlignment="1">
      <alignment horizontal="center"/>
    </xf>
    <xf numFmtId="0" fontId="5" fillId="0" borderId="34" xfId="0" applyFont="1" applyFill="1" applyBorder="1" applyAlignment="1">
      <alignment horizontal="right" vertical="center"/>
    </xf>
    <xf numFmtId="0" fontId="5" fillId="0" borderId="35" xfId="0" applyFont="1" applyFill="1" applyBorder="1" applyAlignment="1">
      <alignment horizontal="right" vertical="center"/>
    </xf>
    <xf numFmtId="0" fontId="5" fillId="0" borderId="36" xfId="0" applyFont="1" applyFill="1" applyBorder="1" applyAlignment="1">
      <alignment horizontal="right" vertical="center"/>
    </xf>
    <xf numFmtId="0" fontId="5" fillId="0" borderId="3" xfId="7" applyFill="1" applyAlignment="1">
      <alignment horizontal="right" vertical="center"/>
    </xf>
    <xf numFmtId="0" fontId="8" fillId="0" borderId="3" xfId="7" applyFont="1" applyAlignment="1">
      <alignment horizontal="left" wrapText="1"/>
    </xf>
    <xf numFmtId="0" fontId="17" fillId="0" borderId="4" xfId="0" applyFont="1" applyFill="1" applyBorder="1" applyAlignment="1">
      <alignment horizontal="right" vertical="center"/>
    </xf>
    <xf numFmtId="0" fontId="13" fillId="0" borderId="6" xfId="0" applyFont="1" applyFill="1" applyBorder="1" applyAlignment="1">
      <alignment horizontal="right" vertical="center"/>
    </xf>
    <xf numFmtId="0" fontId="13" fillId="0" borderId="9" xfId="0" applyFont="1" applyFill="1" applyBorder="1" applyAlignment="1">
      <alignment horizontal="right" vertical="center"/>
    </xf>
    <xf numFmtId="0" fontId="13" fillId="0" borderId="7" xfId="0" applyFont="1" applyFill="1" applyBorder="1" applyAlignment="1">
      <alignment horizontal="right" vertical="center"/>
    </xf>
    <xf numFmtId="0" fontId="16" fillId="0" borderId="4" xfId="0" applyFont="1" applyFill="1" applyBorder="1" applyAlignment="1">
      <alignment horizontal="center" vertical="center"/>
    </xf>
    <xf numFmtId="0" fontId="4" fillId="0" borderId="2" xfId="5" applyFill="1" applyAlignment="1">
      <alignment horizontal="center" wrapText="1"/>
    </xf>
    <xf numFmtId="0" fontId="4" fillId="0" borderId="27" xfId="5" applyBorder="1" applyAlignment="1">
      <alignment horizontal="center"/>
    </xf>
    <xf numFmtId="0" fontId="8" fillId="0" borderId="28" xfId="5" applyFont="1" applyBorder="1" applyAlignment="1">
      <alignment horizontal="center"/>
    </xf>
    <xf numFmtId="0" fontId="8" fillId="0" borderId="0" xfId="5" applyFont="1" applyBorder="1" applyAlignment="1">
      <alignment horizontal="center"/>
    </xf>
    <xf numFmtId="0" fontId="3" fillId="0" borderId="0" xfId="4" applyBorder="1" applyAlignment="1">
      <alignment horizontal="center"/>
    </xf>
    <xf numFmtId="0" fontId="7" fillId="0" borderId="6" xfId="0" applyFont="1" applyBorder="1" applyAlignment="1">
      <alignment horizontal="left" wrapText="1"/>
    </xf>
    <xf numFmtId="0" fontId="7" fillId="0" borderId="7" xfId="0" applyFont="1" applyBorder="1" applyAlignment="1">
      <alignment horizontal="left" wrapText="1"/>
    </xf>
    <xf numFmtId="0" fontId="7" fillId="0" borderId="4" xfId="0" applyFont="1" applyFill="1" applyBorder="1" applyAlignment="1">
      <alignment horizontal="center" vertical="center" wrapText="1"/>
    </xf>
    <xf numFmtId="0" fontId="7" fillId="0" borderId="6" xfId="0" applyFont="1" applyFill="1" applyBorder="1" applyAlignment="1">
      <alignment horizontal="center" wrapText="1"/>
    </xf>
    <xf numFmtId="0" fontId="7" fillId="0" borderId="7" xfId="0" applyFont="1" applyFill="1" applyBorder="1" applyAlignment="1">
      <alignment horizontal="center" wrapText="1"/>
    </xf>
    <xf numFmtId="0" fontId="8" fillId="0" borderId="35" xfId="7" applyFont="1" applyBorder="1" applyAlignment="1">
      <alignment horizontal="center" wrapText="1"/>
    </xf>
    <xf numFmtId="0" fontId="7" fillId="0" borderId="4" xfId="0" applyFont="1" applyBorder="1" applyAlignment="1">
      <alignment horizontal="center" vertical="center"/>
    </xf>
    <xf numFmtId="0" fontId="8" fillId="0" borderId="34" xfId="7" applyFont="1" applyBorder="1" applyAlignment="1">
      <alignment horizontal="right" vertical="center" wrapText="1"/>
    </xf>
    <xf numFmtId="0" fontId="8" fillId="0" borderId="35" xfId="7" applyFont="1" applyBorder="1" applyAlignment="1">
      <alignment horizontal="right" vertical="center" wrapText="1"/>
    </xf>
    <xf numFmtId="0" fontId="8" fillId="0" borderId="36" xfId="7" applyFont="1" applyBorder="1" applyAlignment="1">
      <alignment horizontal="right" vertical="center" wrapText="1"/>
    </xf>
    <xf numFmtId="9" fontId="7" fillId="0" borderId="5" xfId="0" applyNumberFormat="1" applyFont="1" applyFill="1" applyBorder="1" applyAlignment="1">
      <alignment horizontal="center" vertical="center"/>
    </xf>
    <xf numFmtId="9" fontId="7" fillId="0" borderId="39" xfId="0" applyNumberFormat="1" applyFont="1" applyFill="1" applyBorder="1" applyAlignment="1">
      <alignment horizontal="center" vertical="center"/>
    </xf>
    <xf numFmtId="9" fontId="7" fillId="0" borderId="15" xfId="0" applyNumberFormat="1" applyFont="1" applyFill="1" applyBorder="1" applyAlignment="1">
      <alignment horizontal="center" vertical="center"/>
    </xf>
    <xf numFmtId="43" fontId="7" fillId="0" borderId="5" xfId="1" applyFont="1" applyFill="1" applyBorder="1" applyAlignment="1">
      <alignment horizontal="center" vertical="center"/>
    </xf>
    <xf numFmtId="43" fontId="7" fillId="0" borderId="39" xfId="1" applyFont="1" applyFill="1" applyBorder="1" applyAlignment="1">
      <alignment horizontal="center" vertical="center"/>
    </xf>
    <xf numFmtId="43" fontId="7" fillId="0" borderId="15" xfId="1" applyFont="1" applyFill="1" applyBorder="1" applyAlignment="1">
      <alignment horizontal="center" vertical="center"/>
    </xf>
    <xf numFmtId="0" fontId="7" fillId="4" borderId="20" xfId="10" applyFont="1" applyBorder="1" applyAlignment="1">
      <alignment horizontal="center" wrapText="1"/>
    </xf>
    <xf numFmtId="0" fontId="7" fillId="4" borderId="0" xfId="10" applyFont="1" applyBorder="1" applyAlignment="1">
      <alignment horizontal="center" wrapText="1"/>
    </xf>
    <xf numFmtId="43" fontId="7" fillId="0" borderId="4" xfId="1" applyFont="1" applyFill="1" applyBorder="1" applyAlignment="1">
      <alignment horizontal="center" vertical="center"/>
    </xf>
    <xf numFmtId="10" fontId="7" fillId="0" borderId="4" xfId="12" applyNumberFormat="1" applyFont="1" applyFill="1" applyBorder="1" applyAlignment="1">
      <alignment horizontal="center" vertical="center"/>
    </xf>
    <xf numFmtId="43" fontId="7" fillId="0" borderId="4" xfId="0" applyNumberFormat="1" applyFont="1" applyBorder="1" applyAlignment="1">
      <alignment horizontal="center" vertical="center"/>
    </xf>
    <xf numFmtId="10" fontId="7" fillId="0" borderId="4" xfId="12" applyNumberFormat="1" applyFont="1" applyBorder="1" applyAlignment="1">
      <alignment horizontal="center" vertical="center" wrapText="1"/>
    </xf>
    <xf numFmtId="0" fontId="7" fillId="4" borderId="14" xfId="10" applyFont="1" applyBorder="1" applyAlignment="1">
      <alignment horizontal="center" wrapText="1"/>
    </xf>
    <xf numFmtId="0" fontId="7" fillId="4" borderId="8" xfId="10" applyFont="1" applyBorder="1" applyAlignment="1">
      <alignment horizontal="center" wrapText="1"/>
    </xf>
    <xf numFmtId="0" fontId="8" fillId="0" borderId="29" xfId="5" applyFont="1" applyBorder="1" applyAlignment="1">
      <alignment horizontal="center"/>
    </xf>
    <xf numFmtId="0" fontId="8" fillId="4" borderId="6" xfId="10" applyFont="1" applyBorder="1" applyAlignment="1">
      <alignment horizontal="center" wrapText="1"/>
    </xf>
    <xf numFmtId="0" fontId="8" fillId="4" borderId="7" xfId="10" applyFont="1" applyBorder="1" applyAlignment="1">
      <alignment horizontal="center" wrapText="1"/>
    </xf>
    <xf numFmtId="0" fontId="7" fillId="2" borderId="8" xfId="8" applyFont="1" applyBorder="1" applyAlignment="1">
      <alignment horizontal="left" wrapText="1"/>
    </xf>
    <xf numFmtId="0" fontId="7" fillId="0" borderId="4" xfId="0" applyFont="1" applyBorder="1" applyAlignment="1">
      <alignment horizontal="left"/>
    </xf>
    <xf numFmtId="0" fontId="7" fillId="0" borderId="6" xfId="0" applyFont="1" applyBorder="1" applyAlignment="1">
      <alignment horizontal="left"/>
    </xf>
    <xf numFmtId="0" fontId="7" fillId="0" borderId="7" xfId="0" applyFont="1" applyBorder="1" applyAlignment="1">
      <alignment horizontal="left"/>
    </xf>
    <xf numFmtId="0" fontId="7" fillId="0" borderId="6" xfId="0" applyFont="1" applyBorder="1" applyAlignment="1">
      <alignment horizontal="center" wrapText="1"/>
    </xf>
    <xf numFmtId="0" fontId="7" fillId="0" borderId="7" xfId="0" applyFont="1" applyBorder="1" applyAlignment="1">
      <alignment horizontal="center" wrapText="1"/>
    </xf>
    <xf numFmtId="0" fontId="7" fillId="0" borderId="4" xfId="0" applyFont="1" applyBorder="1" applyAlignment="1">
      <alignment horizontal="left" wrapText="1"/>
    </xf>
    <xf numFmtId="0" fontId="7" fillId="0" borderId="5" xfId="0" applyFont="1" applyBorder="1" applyAlignment="1">
      <alignment horizontal="left"/>
    </xf>
    <xf numFmtId="9" fontId="7" fillId="0" borderId="4" xfId="0" applyNumberFormat="1" applyFont="1" applyBorder="1" applyAlignment="1">
      <alignment horizontal="left"/>
    </xf>
    <xf numFmtId="0" fontId="8" fillId="0" borderId="2" xfId="5" applyFont="1" applyAlignment="1">
      <alignment horizontal="center"/>
    </xf>
    <xf numFmtId="0" fontId="8" fillId="0" borderId="3" xfId="7" applyFont="1" applyAlignment="1">
      <alignment horizontal="center" wrapText="1"/>
    </xf>
    <xf numFmtId="0" fontId="7" fillId="6" borderId="0" xfId="0" applyFont="1" applyFill="1" applyBorder="1" applyAlignment="1">
      <alignment horizontal="center" wrapText="1"/>
    </xf>
    <xf numFmtId="0" fontId="7" fillId="6" borderId="8" xfId="0" applyFont="1" applyFill="1" applyBorder="1" applyAlignment="1">
      <alignment horizontal="center" wrapText="1"/>
    </xf>
    <xf numFmtId="0" fontId="7" fillId="4" borderId="4" xfId="10" applyFont="1" applyBorder="1" applyAlignment="1">
      <alignment horizontal="left" wrapText="1"/>
    </xf>
    <xf numFmtId="0" fontId="7" fillId="0" borderId="9" xfId="0" applyFont="1" applyBorder="1" applyAlignment="1">
      <alignment horizontal="left" wrapText="1"/>
    </xf>
    <xf numFmtId="0" fontId="14" fillId="0" borderId="4" xfId="11" applyFont="1" applyFill="1" applyBorder="1" applyAlignment="1">
      <alignment wrapText="1"/>
    </xf>
    <xf numFmtId="0" fontId="7" fillId="4" borderId="0" xfId="10" applyFont="1" applyAlignment="1">
      <alignment horizontal="center"/>
    </xf>
    <xf numFmtId="0" fontId="7" fillId="0" borderId="4" xfId="0" applyFont="1" applyFill="1" applyBorder="1" applyAlignment="1">
      <alignment horizontal="left" vertical="center" wrapText="1"/>
    </xf>
    <xf numFmtId="0" fontId="14" fillId="0" borderId="6" xfId="11" applyFont="1" applyFill="1" applyBorder="1" applyAlignment="1">
      <alignment horizontal="left" wrapText="1"/>
    </xf>
    <xf numFmtId="0" fontId="14" fillId="0" borderId="7" xfId="11" applyFont="1" applyFill="1" applyBorder="1" applyAlignment="1">
      <alignment horizontal="left" wrapText="1"/>
    </xf>
    <xf numFmtId="0" fontId="7" fillId="0" borderId="20" xfId="0" applyFont="1" applyBorder="1" applyAlignment="1">
      <alignment horizontal="left"/>
    </xf>
    <xf numFmtId="0" fontId="7" fillId="0" borderId="0" xfId="0" applyFont="1" applyBorder="1" applyAlignment="1">
      <alignment horizontal="left"/>
    </xf>
    <xf numFmtId="0" fontId="7" fillId="0" borderId="12" xfId="0" applyFont="1" applyBorder="1" applyAlignment="1">
      <alignment horizontal="left" wrapText="1"/>
    </xf>
    <xf numFmtId="0" fontId="7" fillId="0" borderId="13" xfId="0" applyFont="1" applyBorder="1" applyAlignment="1">
      <alignment horizontal="left" wrapText="1"/>
    </xf>
    <xf numFmtId="0" fontId="7" fillId="6" borderId="4" xfId="0" applyFont="1" applyFill="1" applyBorder="1" applyAlignment="1">
      <alignment horizontal="center" wrapText="1"/>
    </xf>
    <xf numFmtId="166" fontId="7" fillId="6" borderId="4" xfId="1" applyNumberFormat="1" applyFont="1" applyFill="1" applyBorder="1" applyAlignment="1">
      <alignment horizontal="center" wrapText="1"/>
    </xf>
    <xf numFmtId="0" fontId="7" fillId="4" borderId="20" xfId="10" applyFont="1" applyBorder="1" applyAlignment="1">
      <alignment horizontal="center"/>
    </xf>
    <xf numFmtId="0" fontId="7" fillId="4" borderId="0" xfId="10" applyFont="1" applyBorder="1" applyAlignment="1">
      <alignment horizontal="center"/>
    </xf>
    <xf numFmtId="0" fontId="14" fillId="0" borderId="11" xfId="11" applyFont="1" applyBorder="1" applyAlignment="1">
      <alignment horizontal="left" wrapText="1"/>
    </xf>
    <xf numFmtId="0" fontId="14" fillId="0" borderId="12" xfId="11" applyFont="1" applyBorder="1" applyAlignment="1">
      <alignment horizontal="left" wrapText="1"/>
    </xf>
    <xf numFmtId="0" fontId="7" fillId="0" borderId="6" xfId="0" applyFont="1" applyBorder="1" applyAlignment="1">
      <alignment horizontal="left" indent="1"/>
    </xf>
    <xf numFmtId="0" fontId="7" fillId="0" borderId="9" xfId="0" applyFont="1" applyBorder="1" applyAlignment="1">
      <alignment horizontal="left" indent="1"/>
    </xf>
    <xf numFmtId="0" fontId="7" fillId="0" borderId="7" xfId="0" applyFont="1" applyBorder="1" applyAlignment="1">
      <alignment horizontal="left" indent="1"/>
    </xf>
    <xf numFmtId="0" fontId="2" fillId="0" borderId="44" xfId="3" applyBorder="1" applyAlignment="1">
      <alignment horizontal="center"/>
    </xf>
    <xf numFmtId="0" fontId="10" fillId="0" borderId="6" xfId="11" applyBorder="1" applyAlignment="1">
      <alignment horizontal="left" wrapText="1"/>
    </xf>
    <xf numFmtId="0" fontId="7" fillId="2" borderId="8" xfId="8" applyFont="1" applyBorder="1" applyAlignment="1">
      <alignment horizontal="center" wrapText="1"/>
    </xf>
  </cellXfs>
  <cellStyles count="14">
    <cellStyle name="20% - Accent1" xfId="8" builtinId="30"/>
    <cellStyle name="Accent3" xfId="9" builtinId="37"/>
    <cellStyle name="Accent4" xfId="10" builtinId="41"/>
    <cellStyle name="Comma" xfId="1" builtinId="3"/>
    <cellStyle name="Currency" xfId="2" builtinId="4"/>
    <cellStyle name="Heading 1" xfId="4" builtinId="16"/>
    <cellStyle name="Heading 2" xfId="13" builtinId="17"/>
    <cellStyle name="Heading 3" xfId="5" builtinId="18"/>
    <cellStyle name="Heading 4" xfId="6" builtinId="19"/>
    <cellStyle name="Hyperlink" xfId="11" builtinId="8"/>
    <cellStyle name="Normal" xfId="0" builtinId="0"/>
    <cellStyle name="Percent" xfId="12" builtinId="5"/>
    <cellStyle name="Title" xfId="3" builtinId="15"/>
    <cellStyle name="Total" xfId="7"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CE1126"/>
      </a:accent1>
      <a:accent2>
        <a:srgbClr val="DD5900"/>
      </a:accent2>
      <a:accent3>
        <a:srgbClr val="F99B0C"/>
      </a:accent3>
      <a:accent4>
        <a:srgbClr val="FFC000"/>
      </a:accent4>
      <a:accent5>
        <a:srgbClr val="5B9BD5"/>
      </a:accent5>
      <a:accent6>
        <a:srgbClr val="70AD47"/>
      </a:accent6>
      <a:hlink>
        <a:srgbClr val="0563C1"/>
      </a:hlink>
      <a:folHlink>
        <a:srgbClr val="F99B0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nepis.epa.gov/Exe/ZyNET.exe/P100EVY6.txt?ZyActionD=ZyDocument&amp;Client=EPA&amp;Index=2006%20Thru%202010&amp;Docs=&amp;Query=&amp;Time=&amp;EndTime=&amp;SearchMethod=1&amp;TocRestrict=n&amp;Toc=&amp;TocEntry=&amp;QField=&amp;QFieldYear=&amp;QFieldMonth=&amp;QFieldDay=&amp;UseQField=&amp;IntQFieldOp=0&amp;ExtQFieldOp=0&amp;XmlQuery=&amp;File=D%3A%5CZYFILES%5CINDEX%20DATA%5C06THRU10%5CTXT%5C00000033%5CP100EVY6.txt&amp;User=ANONYMOUS&amp;Password=anonymous&amp;SortMethod=h%7C-&amp;MaximumDocuments=1&amp;FuzzyDegree=0&amp;ImageQuality=r75g8/r75g8/x150y150g16/i425&amp;Display=hpfr&amp;DefSeekPage=x&amp;SearchBack=ZyActionL&amp;Back=ZyActionS&amp;BackDesc=Results%20page&amp;MaximumPages=1&amp;ZyEntry=4" TargetMode="External"/><Relationship Id="rId7" Type="http://schemas.openxmlformats.org/officeDocument/2006/relationships/printerSettings" Target="../printerSettings/printerSettings12.bin"/><Relationship Id="rId2" Type="http://schemas.openxmlformats.org/officeDocument/2006/relationships/hyperlink" Target="https://www.bts.gov/content/average-fuel-efficiency-us-light-duty-vehicles" TargetMode="External"/><Relationship Id="rId1" Type="http://schemas.openxmlformats.org/officeDocument/2006/relationships/hyperlink" Target="https://www.bts.gov/content/average-age-automobiles-and-trucks-operation-united-states" TargetMode="External"/><Relationship Id="rId6" Type="http://schemas.openxmlformats.org/officeDocument/2006/relationships/hyperlink" Target="https://www.eia.gov/environment/emissions/co2_vol_mass.php" TargetMode="External"/><Relationship Id="rId5" Type="http://schemas.openxmlformats.org/officeDocument/2006/relationships/hyperlink" Target="https://www.energy.gov/eere/vehicles/fact-861-february-23-2015-idle-fuel-consumption-selected-gasoline-and-diesel-vehicles" TargetMode="External"/><Relationship Id="rId4" Type="http://schemas.openxmlformats.org/officeDocument/2006/relationships/hyperlink" Target="https://www.bts.gov/content/us-carbon-dioxide-emissions-energy-use-sector"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orldpopulationreview.com/us-cities/kyle-sd-population/" TargetMode="External"/><Relationship Id="rId1" Type="http://schemas.openxmlformats.org/officeDocument/2006/relationships/hyperlink" Target="https://worldpopulationreview.com/us-cities/kyle-sd-populat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8A5E8-FDB0-4DC9-A9F8-84E676AA049E}">
  <dimension ref="A1:AO13"/>
  <sheetViews>
    <sheetView showGridLines="0" topLeftCell="A3" zoomScaleNormal="100" workbookViewId="0">
      <selection activeCell="L12" sqref="L12"/>
    </sheetView>
  </sheetViews>
  <sheetFormatPr defaultRowHeight="15"/>
  <cols>
    <col min="1" max="1" width="26.7109375" customWidth="1"/>
    <col min="2" max="2" width="27.5703125" customWidth="1"/>
    <col min="3" max="7" width="17.42578125" customWidth="1"/>
  </cols>
  <sheetData>
    <row r="1" spans="1:41" ht="23.25">
      <c r="A1" s="262" t="s">
        <v>10</v>
      </c>
      <c r="B1" s="262"/>
      <c r="C1" s="262"/>
      <c r="D1" s="262"/>
      <c r="E1" s="262"/>
      <c r="F1" s="262"/>
      <c r="G1" s="262"/>
    </row>
    <row r="2" spans="1:41" ht="20.25" thickBot="1">
      <c r="A2" s="263" t="s">
        <v>9</v>
      </c>
      <c r="B2" s="263"/>
      <c r="C2" s="263"/>
      <c r="D2" s="263"/>
      <c r="E2" s="263"/>
      <c r="F2" s="263"/>
      <c r="G2" s="263"/>
    </row>
    <row r="3" spans="1:41" ht="21" thickTop="1" thickBot="1">
      <c r="A3" s="263" t="s">
        <v>1</v>
      </c>
      <c r="B3" s="263"/>
      <c r="C3" s="263"/>
      <c r="D3" s="263"/>
      <c r="E3" s="263"/>
      <c r="F3" s="263"/>
      <c r="G3" s="263"/>
    </row>
    <row r="4" spans="1:41" s="32" customFormat="1" ht="18.75" thickTop="1" thickBot="1">
      <c r="A4" s="264" t="s">
        <v>709</v>
      </c>
      <c r="B4" s="264"/>
      <c r="C4" s="264"/>
      <c r="D4" s="264"/>
      <c r="E4" s="264"/>
      <c r="F4" s="264"/>
      <c r="G4" s="264"/>
      <c r="H4"/>
      <c r="I4"/>
      <c r="J4"/>
      <c r="K4"/>
      <c r="L4"/>
      <c r="M4"/>
      <c r="N4"/>
      <c r="O4"/>
      <c r="P4"/>
      <c r="Q4"/>
      <c r="R4"/>
      <c r="S4"/>
      <c r="T4"/>
      <c r="U4"/>
      <c r="V4"/>
      <c r="W4"/>
      <c r="X4"/>
      <c r="Y4"/>
      <c r="Z4"/>
      <c r="AA4"/>
      <c r="AB4"/>
      <c r="AC4"/>
      <c r="AD4"/>
      <c r="AE4"/>
      <c r="AF4"/>
      <c r="AG4"/>
      <c r="AH4"/>
      <c r="AI4"/>
      <c r="AJ4"/>
      <c r="AK4"/>
      <c r="AL4"/>
      <c r="AM4"/>
      <c r="AN4"/>
      <c r="AO4"/>
    </row>
    <row r="5" spans="1:41" ht="15.75" thickTop="1"/>
    <row r="6" spans="1:41" ht="45.75" thickBot="1">
      <c r="A6" s="6" t="s">
        <v>3</v>
      </c>
      <c r="B6" s="6" t="s">
        <v>4</v>
      </c>
      <c r="C6" s="6" t="s">
        <v>5</v>
      </c>
      <c r="D6" s="6" t="s">
        <v>6</v>
      </c>
      <c r="E6" s="6" t="s">
        <v>7</v>
      </c>
      <c r="F6" s="6" t="s">
        <v>8</v>
      </c>
      <c r="G6" s="6" t="s">
        <v>374</v>
      </c>
    </row>
    <row r="7" spans="1:41" s="30" customFormat="1" ht="85.5" customHeight="1">
      <c r="A7" s="261" t="s">
        <v>425</v>
      </c>
      <c r="B7" s="261" t="s">
        <v>693</v>
      </c>
      <c r="C7" s="28" t="s">
        <v>427</v>
      </c>
      <c r="D7" s="29" t="s">
        <v>375</v>
      </c>
      <c r="E7" s="31" t="s">
        <v>431</v>
      </c>
      <c r="F7" s="260" t="s">
        <v>725</v>
      </c>
      <c r="G7" s="111" t="s">
        <v>370</v>
      </c>
    </row>
    <row r="8" spans="1:41" s="30" customFormat="1" ht="67.900000000000006" customHeight="1">
      <c r="A8" s="261"/>
      <c r="B8" s="261"/>
      <c r="C8" s="216" t="s">
        <v>690</v>
      </c>
      <c r="D8" s="29" t="s">
        <v>691</v>
      </c>
      <c r="E8" s="31" t="s">
        <v>692</v>
      </c>
      <c r="F8" s="260"/>
      <c r="G8" s="111" t="s">
        <v>689</v>
      </c>
    </row>
    <row r="9" spans="1:41" s="30" customFormat="1" ht="45">
      <c r="A9" s="261"/>
      <c r="B9" s="261"/>
      <c r="C9" s="29" t="s">
        <v>367</v>
      </c>
      <c r="D9" s="29" t="s">
        <v>369</v>
      </c>
      <c r="E9" s="29" t="s">
        <v>430</v>
      </c>
      <c r="F9" s="260"/>
      <c r="G9" s="29" t="s">
        <v>371</v>
      </c>
    </row>
    <row r="10" spans="1:41" s="30" customFormat="1" ht="76.900000000000006" customHeight="1">
      <c r="A10" s="261"/>
      <c r="B10" s="261"/>
      <c r="C10" s="29" t="s">
        <v>696</v>
      </c>
      <c r="D10" s="29" t="s">
        <v>426</v>
      </c>
      <c r="E10" s="111" t="s">
        <v>428</v>
      </c>
      <c r="F10" s="260"/>
      <c r="G10" s="29" t="s">
        <v>372</v>
      </c>
    </row>
    <row r="11" spans="1:41" s="30" customFormat="1" ht="62.1" customHeight="1">
      <c r="A11" s="261"/>
      <c r="B11" s="261"/>
      <c r="C11" s="29" t="s">
        <v>368</v>
      </c>
      <c r="D11" s="29" t="s">
        <v>376</v>
      </c>
      <c r="E11" s="29" t="s">
        <v>429</v>
      </c>
      <c r="F11" s="260"/>
      <c r="G11" s="29" t="s">
        <v>373</v>
      </c>
    </row>
    <row r="12" spans="1:41" s="30" customFormat="1" ht="50.45" customHeight="1">
      <c r="A12" s="261"/>
      <c r="B12" s="261"/>
      <c r="C12" s="216" t="s">
        <v>694</v>
      </c>
      <c r="D12" s="29" t="s">
        <v>695</v>
      </c>
      <c r="E12" s="216" t="s">
        <v>707</v>
      </c>
      <c r="F12" s="260"/>
      <c r="G12" s="29" t="s">
        <v>699</v>
      </c>
    </row>
    <row r="13" spans="1:41" s="30" customFormat="1" ht="74.45" customHeight="1">
      <c r="A13" s="261"/>
      <c r="B13" s="261"/>
      <c r="C13" s="216" t="s">
        <v>697</v>
      </c>
      <c r="D13" s="29" t="s">
        <v>376</v>
      </c>
      <c r="E13" s="29" t="s">
        <v>698</v>
      </c>
      <c r="F13" s="260"/>
      <c r="G13" s="29" t="s">
        <v>726</v>
      </c>
    </row>
  </sheetData>
  <mergeCells count="7">
    <mergeCell ref="F7:F13"/>
    <mergeCell ref="A7:A13"/>
    <mergeCell ref="B7:B13"/>
    <mergeCell ref="A1:G1"/>
    <mergeCell ref="A2:G2"/>
    <mergeCell ref="A3:G3"/>
    <mergeCell ref="A4:G4"/>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4D832-9D40-497B-80F1-02D154F5F914}">
  <dimension ref="A1:AK131"/>
  <sheetViews>
    <sheetView tabSelected="1" topLeftCell="R63" zoomScaleNormal="100" workbookViewId="0">
      <selection activeCell="Z63" sqref="Z1:Z1048576"/>
    </sheetView>
  </sheetViews>
  <sheetFormatPr defaultRowHeight="15"/>
  <cols>
    <col min="1" max="1" width="11.5703125" customWidth="1"/>
    <col min="2" max="2" width="13.7109375" customWidth="1"/>
    <col min="3" max="3" width="13" customWidth="1"/>
    <col min="4" max="4" width="10.28515625" customWidth="1"/>
    <col min="5" max="5" width="11.42578125" customWidth="1"/>
    <col min="6" max="6" width="11" customWidth="1"/>
    <col min="7" max="7" width="11.140625" customWidth="1"/>
    <col min="8" max="8" width="12.85546875" customWidth="1"/>
    <col min="9" max="9" width="12.7109375" customWidth="1"/>
    <col min="10" max="10" width="12.28515625" customWidth="1"/>
    <col min="11" max="11" width="12.5703125" customWidth="1"/>
    <col min="12" max="12" width="12.85546875" customWidth="1"/>
    <col min="13" max="13" width="13.85546875" customWidth="1"/>
    <col min="14" max="14" width="13" customWidth="1"/>
    <col min="15" max="15" width="15.7109375" customWidth="1"/>
    <col min="16" max="16" width="15.7109375" bestFit="1" customWidth="1"/>
    <col min="17" max="18" width="16.140625" customWidth="1"/>
    <col min="19" max="24" width="14.85546875" customWidth="1"/>
    <col min="25" max="25" width="17.28515625" customWidth="1"/>
    <col min="26" max="26" width="13.7109375" customWidth="1"/>
    <col min="27" max="27" width="12.140625" customWidth="1"/>
    <col min="28" max="28" width="15.5703125" customWidth="1"/>
    <col min="29" max="29" width="13.85546875" customWidth="1"/>
    <col min="30" max="30" width="11" customWidth="1"/>
    <col min="31" max="31" width="11.7109375" customWidth="1"/>
  </cols>
  <sheetData>
    <row r="1" spans="1:13" ht="23.25">
      <c r="A1" s="262" t="s">
        <v>10</v>
      </c>
      <c r="B1" s="262"/>
      <c r="C1" s="262"/>
      <c r="D1" s="262"/>
      <c r="E1" s="262"/>
      <c r="F1" s="262"/>
      <c r="G1" s="262"/>
      <c r="H1" s="262"/>
      <c r="I1" s="262"/>
      <c r="J1" s="262"/>
      <c r="K1" s="262"/>
      <c r="L1" s="262"/>
      <c r="M1" s="262"/>
    </row>
    <row r="2" spans="1:13" ht="19.5">
      <c r="A2" s="316" t="s">
        <v>9</v>
      </c>
      <c r="B2" s="316"/>
      <c r="C2" s="316"/>
      <c r="D2" s="316"/>
      <c r="E2" s="316"/>
      <c r="F2" s="316"/>
      <c r="G2" s="316"/>
      <c r="H2" s="316"/>
      <c r="I2" s="316"/>
      <c r="J2" s="316"/>
      <c r="K2" s="316"/>
      <c r="L2" s="316"/>
      <c r="M2" s="316"/>
    </row>
    <row r="3" spans="1:13" ht="19.5">
      <c r="A3" s="316" t="s">
        <v>1</v>
      </c>
      <c r="B3" s="316"/>
      <c r="C3" s="316"/>
      <c r="D3" s="316"/>
      <c r="E3" s="316"/>
      <c r="F3" s="316"/>
      <c r="G3" s="316"/>
      <c r="H3" s="316"/>
      <c r="I3" s="316"/>
      <c r="J3" s="316"/>
      <c r="K3" s="316"/>
      <c r="L3" s="316"/>
      <c r="M3" s="316"/>
    </row>
    <row r="4" spans="1:13">
      <c r="A4" s="269" t="s">
        <v>24</v>
      </c>
      <c r="B4" s="269"/>
      <c r="C4" s="269"/>
      <c r="D4" s="269"/>
      <c r="E4" s="269"/>
      <c r="F4" s="269"/>
      <c r="G4" s="269"/>
      <c r="H4" s="269"/>
      <c r="I4" s="269"/>
      <c r="J4" s="269"/>
      <c r="K4" s="269"/>
      <c r="L4" s="269"/>
      <c r="M4" s="269"/>
    </row>
    <row r="6" spans="1:13" s="54" customFormat="1" ht="105">
      <c r="A6" s="115" t="s">
        <v>394</v>
      </c>
      <c r="B6" s="1">
        <v>700</v>
      </c>
      <c r="D6" s="115" t="s">
        <v>48</v>
      </c>
      <c r="E6" s="83">
        <f>W69/$C$78</f>
        <v>1</v>
      </c>
      <c r="F6" s="115" t="s">
        <v>32</v>
      </c>
      <c r="G6" s="24">
        <f t="shared" ref="G6:G11" si="0">Z69*E6</f>
        <v>45000</v>
      </c>
      <c r="H6" s="115" t="s">
        <v>34</v>
      </c>
      <c r="I6" s="117">
        <f>G6/B6</f>
        <v>64.285714285714292</v>
      </c>
    </row>
    <row r="7" spans="1:13" s="54" customFormat="1" ht="90">
      <c r="A7" s="115" t="s">
        <v>574</v>
      </c>
      <c r="B7" s="116">
        <v>1.77E-2</v>
      </c>
      <c r="D7" s="115" t="s">
        <v>604</v>
      </c>
      <c r="E7" s="83">
        <f>X70/C78</f>
        <v>0.2</v>
      </c>
      <c r="F7" s="115" t="s">
        <v>605</v>
      </c>
      <c r="G7" s="24">
        <f t="shared" si="0"/>
        <v>1480</v>
      </c>
      <c r="H7" s="115" t="s">
        <v>606</v>
      </c>
      <c r="I7" s="117">
        <f>G7/B6</f>
        <v>2.1142857142857143</v>
      </c>
    </row>
    <row r="8" spans="1:13" s="54" customFormat="1" ht="90">
      <c r="A8" s="115" t="s">
        <v>29</v>
      </c>
      <c r="B8" s="1">
        <v>365</v>
      </c>
      <c r="D8" s="115" t="s">
        <v>601</v>
      </c>
      <c r="E8" s="83">
        <f>X71/C78</f>
        <v>0.6</v>
      </c>
      <c r="F8" s="115" t="s">
        <v>602</v>
      </c>
      <c r="G8" s="24">
        <f t="shared" si="0"/>
        <v>261000</v>
      </c>
      <c r="H8" s="115" t="s">
        <v>603</v>
      </c>
      <c r="I8" s="117">
        <f>G8/B6</f>
        <v>372.85714285714283</v>
      </c>
    </row>
    <row r="9" spans="1:13" s="54" customFormat="1" ht="105">
      <c r="A9" s="115" t="s">
        <v>395</v>
      </c>
      <c r="B9" s="23">
        <f>B6*B8</f>
        <v>255500</v>
      </c>
      <c r="D9" s="115" t="s">
        <v>614</v>
      </c>
      <c r="E9" s="83">
        <f>X72/C78</f>
        <v>0.1</v>
      </c>
      <c r="F9" s="115" t="s">
        <v>615</v>
      </c>
      <c r="G9" s="24">
        <f t="shared" si="0"/>
        <v>14200</v>
      </c>
      <c r="H9" s="115" t="s">
        <v>616</v>
      </c>
      <c r="I9" s="117">
        <f>G9/B56</f>
        <v>568</v>
      </c>
    </row>
    <row r="10" spans="1:13" s="54" customFormat="1" ht="105">
      <c r="A10" s="115" t="s">
        <v>30</v>
      </c>
      <c r="B10" s="188">
        <f>I99</f>
        <v>0.23941449075070723</v>
      </c>
      <c r="D10" s="115" t="s">
        <v>548</v>
      </c>
      <c r="E10" s="83">
        <f>X73/C78</f>
        <v>0.1</v>
      </c>
      <c r="F10" s="115" t="s">
        <v>549</v>
      </c>
      <c r="G10" s="24">
        <f t="shared" si="0"/>
        <v>52130</v>
      </c>
      <c r="H10" s="115" t="s">
        <v>550</v>
      </c>
      <c r="I10" s="117">
        <f>G10/B6</f>
        <v>74.471428571428575</v>
      </c>
    </row>
    <row r="11" spans="1:13" s="54" customFormat="1" ht="75">
      <c r="A11" s="115" t="s">
        <v>424</v>
      </c>
      <c r="B11" s="188">
        <f>H112</f>
        <v>0.20450000000000002</v>
      </c>
      <c r="D11" s="115" t="s">
        <v>31</v>
      </c>
      <c r="E11" s="83">
        <f>X74/C78</f>
        <v>0.3</v>
      </c>
      <c r="F11" s="115" t="s">
        <v>33</v>
      </c>
      <c r="G11" s="24">
        <f t="shared" si="0"/>
        <v>9810000</v>
      </c>
      <c r="H11" s="115" t="s">
        <v>35</v>
      </c>
      <c r="I11" s="117">
        <f>G11/B6</f>
        <v>14014.285714285714</v>
      </c>
    </row>
    <row r="12" spans="1:13" s="54" customFormat="1"/>
    <row r="13" spans="1:13" s="54" customFormat="1"/>
    <row r="14" spans="1:13" s="54" customFormat="1"/>
    <row r="15" spans="1:13" s="54" customFormat="1"/>
    <row r="16" spans="1:13" s="54" customFormat="1"/>
    <row r="17" spans="1:19" s="54" customFormat="1"/>
    <row r="18" spans="1:19" s="54" customFormat="1"/>
    <row r="19" spans="1:19" s="54" customFormat="1"/>
    <row r="20" spans="1:19" s="54" customFormat="1" ht="90">
      <c r="A20" s="72" t="s">
        <v>25</v>
      </c>
      <c r="B20" s="72" t="s">
        <v>26</v>
      </c>
      <c r="C20" s="72" t="s">
        <v>36</v>
      </c>
      <c r="D20" s="72" t="s">
        <v>37</v>
      </c>
      <c r="E20" s="72" t="s">
        <v>608</v>
      </c>
      <c r="F20" s="72" t="s">
        <v>607</v>
      </c>
      <c r="G20" s="72" t="s">
        <v>613</v>
      </c>
      <c r="H20" s="72" t="s">
        <v>572</v>
      </c>
      <c r="I20" s="72" t="s">
        <v>612</v>
      </c>
      <c r="J20" s="72" t="s">
        <v>38</v>
      </c>
      <c r="K20" s="72" t="s">
        <v>610</v>
      </c>
      <c r="L20" s="72" t="s">
        <v>609</v>
      </c>
      <c r="M20" s="72" t="s">
        <v>617</v>
      </c>
      <c r="N20" s="72" t="s">
        <v>551</v>
      </c>
      <c r="O20" s="72" t="s">
        <v>611</v>
      </c>
      <c r="P20" s="72" t="s">
        <v>380</v>
      </c>
      <c r="Q20" s="72" t="s">
        <v>567</v>
      </c>
      <c r="R20" s="72" t="s">
        <v>39</v>
      </c>
      <c r="S20" s="72" t="s">
        <v>40</v>
      </c>
    </row>
    <row r="21" spans="1:19" s="54" customFormat="1">
      <c r="A21" s="54">
        <v>2019</v>
      </c>
      <c r="C21" s="63">
        <f>B9</f>
        <v>255500</v>
      </c>
      <c r="D21" s="71">
        <f>$E$6</f>
        <v>1</v>
      </c>
      <c r="E21" s="71">
        <f>$E$7</f>
        <v>0.2</v>
      </c>
      <c r="F21" s="71">
        <f>$E$8</f>
        <v>0.6</v>
      </c>
      <c r="G21" s="71">
        <f>$E$9</f>
        <v>0.1</v>
      </c>
      <c r="H21" s="71">
        <f t="shared" ref="H21:H61" si="1">$E$10</f>
        <v>0.1</v>
      </c>
      <c r="I21" s="71">
        <f t="shared" ref="I21:I61" si="2">$E$11</f>
        <v>0.3</v>
      </c>
      <c r="J21" s="65">
        <f t="shared" ref="J21:J61" si="3">C21*D21*$I$6</f>
        <v>16425000.000000002</v>
      </c>
      <c r="K21" s="65">
        <f t="shared" ref="K21:K61" si="4">C21*E21*$I$7</f>
        <v>108040</v>
      </c>
      <c r="L21" s="65">
        <f t="shared" ref="L21:L61" si="5">C21*F21*$I$8</f>
        <v>57158999.999999993</v>
      </c>
      <c r="M21" s="65">
        <f>C21*G21*$I$9</f>
        <v>14512400</v>
      </c>
      <c r="N21" s="65">
        <f t="shared" ref="N21:N61" si="6">C21*H21*$I$10</f>
        <v>1902745</v>
      </c>
      <c r="O21" s="65">
        <f t="shared" ref="O21:O61" si="7">C21*I21*$I$11</f>
        <v>1074195000</v>
      </c>
      <c r="P21" s="66">
        <f t="shared" ref="P21:P61" si="8">SUM(J21:O21)</f>
        <v>1164302185</v>
      </c>
      <c r="Q21" s="66">
        <v>0</v>
      </c>
      <c r="R21" s="66">
        <v>0</v>
      </c>
      <c r="S21" s="66">
        <v>0</v>
      </c>
    </row>
    <row r="22" spans="1:19" s="54" customFormat="1">
      <c r="A22" s="54">
        <v>2020</v>
      </c>
      <c r="C22" s="63">
        <f t="shared" ref="C22:C61" si="9">C21+(C21*$B$7)</f>
        <v>260022.35</v>
      </c>
      <c r="D22" s="71">
        <f t="shared" ref="D22:D61" si="10">$E$6</f>
        <v>1</v>
      </c>
      <c r="E22" s="71">
        <f t="shared" ref="E22:E61" si="11">$E$7</f>
        <v>0.2</v>
      </c>
      <c r="F22" s="71">
        <f t="shared" ref="F22:F61" si="12">$E$8</f>
        <v>0.6</v>
      </c>
      <c r="G22" s="71">
        <f t="shared" ref="G22:G61" si="13">$E$9</f>
        <v>0.1</v>
      </c>
      <c r="H22" s="71">
        <f t="shared" si="1"/>
        <v>0.1</v>
      </c>
      <c r="I22" s="71">
        <f t="shared" si="2"/>
        <v>0.3</v>
      </c>
      <c r="J22" s="65">
        <f t="shared" si="3"/>
        <v>16715722.500000002</v>
      </c>
      <c r="K22" s="65">
        <f t="shared" si="4"/>
        <v>109952.308</v>
      </c>
      <c r="L22" s="65">
        <f t="shared" si="5"/>
        <v>58170714.299999997</v>
      </c>
      <c r="M22" s="65">
        <f t="shared" ref="M22:M61" si="14">C22*G22*$I$9</f>
        <v>14769269.48</v>
      </c>
      <c r="N22" s="65">
        <f t="shared" si="6"/>
        <v>1936423.5865000002</v>
      </c>
      <c r="O22" s="65">
        <f t="shared" si="7"/>
        <v>1093208251.5</v>
      </c>
      <c r="P22" s="66">
        <f t="shared" si="8"/>
        <v>1184910333.6745</v>
      </c>
      <c r="Q22" s="66">
        <v>0</v>
      </c>
      <c r="R22" s="66">
        <v>0</v>
      </c>
      <c r="S22" s="66">
        <v>0</v>
      </c>
    </row>
    <row r="23" spans="1:19" s="54" customFormat="1">
      <c r="A23" s="54">
        <v>2021</v>
      </c>
      <c r="C23" s="63">
        <f t="shared" si="9"/>
        <v>264624.74559499999</v>
      </c>
      <c r="D23" s="71">
        <f t="shared" si="10"/>
        <v>1</v>
      </c>
      <c r="E23" s="71">
        <f t="shared" si="11"/>
        <v>0.2</v>
      </c>
      <c r="F23" s="71">
        <f t="shared" si="12"/>
        <v>0.6</v>
      </c>
      <c r="G23" s="71">
        <f t="shared" si="13"/>
        <v>0.1</v>
      </c>
      <c r="H23" s="71">
        <f t="shared" si="1"/>
        <v>0.1</v>
      </c>
      <c r="I23" s="71">
        <f t="shared" si="2"/>
        <v>0.3</v>
      </c>
      <c r="J23" s="65">
        <f t="shared" si="3"/>
        <v>17011590.788249999</v>
      </c>
      <c r="K23" s="65">
        <f t="shared" si="4"/>
        <v>111898.4638516</v>
      </c>
      <c r="L23" s="65">
        <f t="shared" si="5"/>
        <v>59200335.943109997</v>
      </c>
      <c r="M23" s="65">
        <f t="shared" si="14"/>
        <v>15030685.549796</v>
      </c>
      <c r="N23" s="65">
        <f t="shared" si="6"/>
        <v>1970698.2839810499</v>
      </c>
      <c r="O23" s="65">
        <f t="shared" si="7"/>
        <v>1112558037.5515499</v>
      </c>
      <c r="P23" s="66">
        <f t="shared" si="8"/>
        <v>1205883246.5805385</v>
      </c>
      <c r="Q23" s="66">
        <v>0</v>
      </c>
      <c r="R23" s="66">
        <v>0</v>
      </c>
      <c r="S23" s="66">
        <v>0</v>
      </c>
    </row>
    <row r="24" spans="1:19" s="54" customFormat="1">
      <c r="A24" s="54">
        <v>2022</v>
      </c>
      <c r="C24" s="63">
        <f t="shared" si="9"/>
        <v>269308.60359203146</v>
      </c>
      <c r="D24" s="71">
        <f t="shared" si="10"/>
        <v>1</v>
      </c>
      <c r="E24" s="71">
        <f t="shared" si="11"/>
        <v>0.2</v>
      </c>
      <c r="F24" s="71">
        <f t="shared" si="12"/>
        <v>0.6</v>
      </c>
      <c r="G24" s="71">
        <f t="shared" si="13"/>
        <v>0.1</v>
      </c>
      <c r="H24" s="71">
        <f t="shared" si="1"/>
        <v>0.1</v>
      </c>
      <c r="I24" s="71">
        <f t="shared" si="2"/>
        <v>0.3</v>
      </c>
      <c r="J24" s="65">
        <f t="shared" si="3"/>
        <v>17312695.945202023</v>
      </c>
      <c r="K24" s="65">
        <f t="shared" si="4"/>
        <v>113879.06666177331</v>
      </c>
      <c r="L24" s="65">
        <f t="shared" si="5"/>
        <v>60248181.889303029</v>
      </c>
      <c r="M24" s="65">
        <f t="shared" si="14"/>
        <v>15296728.684027387</v>
      </c>
      <c r="N24" s="65">
        <f t="shared" si="6"/>
        <v>2005579.6436075144</v>
      </c>
      <c r="O24" s="65">
        <f t="shared" si="7"/>
        <v>1132250314.8162122</v>
      </c>
      <c r="P24" s="66">
        <f t="shared" si="8"/>
        <v>1227227380.0450139</v>
      </c>
      <c r="Q24" s="66">
        <v>0</v>
      </c>
      <c r="R24" s="66">
        <v>0</v>
      </c>
      <c r="S24" s="66">
        <v>0</v>
      </c>
    </row>
    <row r="25" spans="1:19" s="54" customFormat="1">
      <c r="A25" s="54">
        <v>2023</v>
      </c>
      <c r="C25" s="63">
        <f t="shared" si="9"/>
        <v>274075.36587561044</v>
      </c>
      <c r="D25" s="71">
        <f t="shared" si="10"/>
        <v>1</v>
      </c>
      <c r="E25" s="71">
        <f t="shared" si="11"/>
        <v>0.2</v>
      </c>
      <c r="F25" s="71">
        <f t="shared" si="12"/>
        <v>0.6</v>
      </c>
      <c r="G25" s="71">
        <f t="shared" si="13"/>
        <v>0.1</v>
      </c>
      <c r="H25" s="71">
        <f t="shared" si="1"/>
        <v>0.1</v>
      </c>
      <c r="I25" s="71">
        <f t="shared" si="2"/>
        <v>0.3</v>
      </c>
      <c r="J25" s="65">
        <f t="shared" si="3"/>
        <v>17619130.663432103</v>
      </c>
      <c r="K25" s="65">
        <f t="shared" si="4"/>
        <v>115894.7261416867</v>
      </c>
      <c r="L25" s="65">
        <f t="shared" si="5"/>
        <v>61314574.708743706</v>
      </c>
      <c r="M25" s="65">
        <f t="shared" si="14"/>
        <v>15567480.781734673</v>
      </c>
      <c r="N25" s="65">
        <f t="shared" si="6"/>
        <v>2041078.4032993675</v>
      </c>
      <c r="O25" s="65">
        <f t="shared" si="7"/>
        <v>1152291145.3884592</v>
      </c>
      <c r="P25" s="66">
        <f t="shared" si="8"/>
        <v>1248949304.6718106</v>
      </c>
      <c r="Q25" s="66">
        <v>0</v>
      </c>
      <c r="R25" s="66">
        <v>0</v>
      </c>
      <c r="S25" s="66">
        <v>0</v>
      </c>
    </row>
    <row r="26" spans="1:19" s="54" customFormat="1">
      <c r="A26" s="54">
        <v>2024</v>
      </c>
      <c r="C26" s="63">
        <f t="shared" si="9"/>
        <v>278926.49985160877</v>
      </c>
      <c r="D26" s="71">
        <f t="shared" si="10"/>
        <v>1</v>
      </c>
      <c r="E26" s="71">
        <f t="shared" si="11"/>
        <v>0.2</v>
      </c>
      <c r="F26" s="71">
        <f t="shared" si="12"/>
        <v>0.6</v>
      </c>
      <c r="G26" s="71">
        <f t="shared" si="13"/>
        <v>0.1</v>
      </c>
      <c r="H26" s="71">
        <f t="shared" si="1"/>
        <v>0.1</v>
      </c>
      <c r="I26" s="71">
        <f t="shared" si="2"/>
        <v>0.3</v>
      </c>
      <c r="J26" s="65">
        <f t="shared" si="3"/>
        <v>17930989.276174851</v>
      </c>
      <c r="K26" s="65">
        <f t="shared" si="4"/>
        <v>117946.06279439457</v>
      </c>
      <c r="L26" s="65">
        <f t="shared" si="5"/>
        <v>62399842.68108847</v>
      </c>
      <c r="M26" s="65">
        <f t="shared" si="14"/>
        <v>15843025.191571379</v>
      </c>
      <c r="N26" s="65">
        <f t="shared" si="6"/>
        <v>2077205.4910377667</v>
      </c>
      <c r="O26" s="65">
        <f t="shared" si="7"/>
        <v>1172686698.6618352</v>
      </c>
      <c r="P26" s="66">
        <f t="shared" si="8"/>
        <v>1271055707.364502</v>
      </c>
      <c r="Q26" s="66">
        <v>0</v>
      </c>
      <c r="R26" s="66">
        <v>0</v>
      </c>
      <c r="S26" s="66">
        <v>0</v>
      </c>
    </row>
    <row r="27" spans="1:19" s="54" customFormat="1">
      <c r="A27" s="54">
        <v>2025</v>
      </c>
      <c r="C27" s="63">
        <f t="shared" si="9"/>
        <v>283863.49889898225</v>
      </c>
      <c r="D27" s="71">
        <f t="shared" si="10"/>
        <v>1</v>
      </c>
      <c r="E27" s="71">
        <f t="shared" si="11"/>
        <v>0.2</v>
      </c>
      <c r="F27" s="71">
        <f t="shared" si="12"/>
        <v>0.6</v>
      </c>
      <c r="G27" s="71">
        <f t="shared" si="13"/>
        <v>0.1</v>
      </c>
      <c r="H27" s="71">
        <f t="shared" si="1"/>
        <v>0.1</v>
      </c>
      <c r="I27" s="71">
        <f t="shared" si="2"/>
        <v>0.3</v>
      </c>
      <c r="J27" s="65">
        <f t="shared" si="3"/>
        <v>18248367.786363147</v>
      </c>
      <c r="K27" s="65">
        <f t="shared" si="4"/>
        <v>120033.70810585536</v>
      </c>
      <c r="L27" s="65">
        <f t="shared" si="5"/>
        <v>63504319.896543734</v>
      </c>
      <c r="M27" s="65">
        <f t="shared" si="14"/>
        <v>16123446.737462193</v>
      </c>
      <c r="N27" s="65">
        <f t="shared" si="6"/>
        <v>2113972.0282291351</v>
      </c>
      <c r="O27" s="65">
        <f t="shared" si="7"/>
        <v>1193443253.2281494</v>
      </c>
      <c r="P27" s="66">
        <f t="shared" si="8"/>
        <v>1293553393.3848534</v>
      </c>
      <c r="Q27" s="66">
        <v>0</v>
      </c>
      <c r="R27" s="66">
        <v>0</v>
      </c>
      <c r="S27" s="66">
        <f>R27/Discount!B9</f>
        <v>0</v>
      </c>
    </row>
    <row r="28" spans="1:19" s="54" customFormat="1">
      <c r="A28" s="54">
        <v>2026</v>
      </c>
      <c r="C28" s="63">
        <f t="shared" si="9"/>
        <v>288887.88282949425</v>
      </c>
      <c r="D28" s="71">
        <f t="shared" si="10"/>
        <v>1</v>
      </c>
      <c r="E28" s="71">
        <f t="shared" si="11"/>
        <v>0.2</v>
      </c>
      <c r="F28" s="71">
        <f t="shared" si="12"/>
        <v>0.6</v>
      </c>
      <c r="G28" s="71">
        <f t="shared" si="13"/>
        <v>0.1</v>
      </c>
      <c r="H28" s="71">
        <f t="shared" si="1"/>
        <v>0.1</v>
      </c>
      <c r="I28" s="71">
        <f t="shared" si="2"/>
        <v>0.3</v>
      </c>
      <c r="J28" s="65">
        <f t="shared" si="3"/>
        <v>18571363.896181773</v>
      </c>
      <c r="K28" s="65">
        <f t="shared" si="4"/>
        <v>122158.304739329</v>
      </c>
      <c r="L28" s="65">
        <f t="shared" si="5"/>
        <v>64628346.358712561</v>
      </c>
      <c r="M28" s="65">
        <f t="shared" si="14"/>
        <v>16408831.744715273</v>
      </c>
      <c r="N28" s="65">
        <f t="shared" si="6"/>
        <v>2151389.3331287908</v>
      </c>
      <c r="O28" s="65">
        <f t="shared" si="7"/>
        <v>1214567198.810288</v>
      </c>
      <c r="P28" s="66">
        <f t="shared" si="8"/>
        <v>1316449288.4477656</v>
      </c>
      <c r="Q28" s="66">
        <v>0</v>
      </c>
      <c r="R28" s="66">
        <v>0</v>
      </c>
      <c r="S28" s="66">
        <f>R28/Discount!B10</f>
        <v>0</v>
      </c>
    </row>
    <row r="29" spans="1:19" s="54" customFormat="1">
      <c r="A29" s="54">
        <v>2027</v>
      </c>
      <c r="C29" s="63">
        <f t="shared" si="9"/>
        <v>294001.19835557631</v>
      </c>
      <c r="D29" s="71">
        <f t="shared" si="10"/>
        <v>1</v>
      </c>
      <c r="E29" s="71">
        <f t="shared" si="11"/>
        <v>0.2</v>
      </c>
      <c r="F29" s="71">
        <f t="shared" si="12"/>
        <v>0.6</v>
      </c>
      <c r="G29" s="71">
        <f t="shared" si="13"/>
        <v>0.1</v>
      </c>
      <c r="H29" s="71">
        <f t="shared" si="1"/>
        <v>0.1</v>
      </c>
      <c r="I29" s="71">
        <f t="shared" si="2"/>
        <v>0.3</v>
      </c>
      <c r="J29" s="65">
        <f t="shared" si="3"/>
        <v>18900077.037144195</v>
      </c>
      <c r="K29" s="65">
        <f t="shared" si="4"/>
        <v>124320.50673321514</v>
      </c>
      <c r="L29" s="65">
        <f t="shared" si="5"/>
        <v>65772268.089261778</v>
      </c>
      <c r="M29" s="65">
        <f t="shared" si="14"/>
        <v>16699268.066596737</v>
      </c>
      <c r="N29" s="65">
        <f t="shared" si="6"/>
        <v>2189468.9243251709</v>
      </c>
      <c r="O29" s="65">
        <f t="shared" si="7"/>
        <v>1236065038.2292299</v>
      </c>
      <c r="P29" s="66">
        <f t="shared" si="8"/>
        <v>1339750440.853291</v>
      </c>
      <c r="Q29" s="66">
        <v>0</v>
      </c>
      <c r="R29" s="66">
        <v>0</v>
      </c>
      <c r="S29" s="66">
        <f>R29/Discount!B11</f>
        <v>0</v>
      </c>
    </row>
    <row r="30" spans="1:19" s="54" customFormat="1">
      <c r="A30" s="54">
        <v>2028</v>
      </c>
      <c r="C30" s="63">
        <f t="shared" si="9"/>
        <v>299205.01956647</v>
      </c>
      <c r="D30" s="71">
        <f t="shared" si="10"/>
        <v>1</v>
      </c>
      <c r="E30" s="71">
        <f t="shared" si="11"/>
        <v>0.2</v>
      </c>
      <c r="F30" s="71">
        <f t="shared" si="12"/>
        <v>0.6</v>
      </c>
      <c r="G30" s="71">
        <f t="shared" si="13"/>
        <v>0.1</v>
      </c>
      <c r="H30" s="71">
        <f t="shared" si="1"/>
        <v>0.1</v>
      </c>
      <c r="I30" s="71">
        <f t="shared" si="2"/>
        <v>0.3</v>
      </c>
      <c r="J30" s="65">
        <f t="shared" si="3"/>
        <v>19234608.400701646</v>
      </c>
      <c r="K30" s="65">
        <f t="shared" si="4"/>
        <v>126520.97970239303</v>
      </c>
      <c r="L30" s="65">
        <f t="shared" si="5"/>
        <v>66936437.234441712</v>
      </c>
      <c r="M30" s="65">
        <f t="shared" si="14"/>
        <v>16994845.111375496</v>
      </c>
      <c r="N30" s="65">
        <f t="shared" si="6"/>
        <v>2228222.5242857258</v>
      </c>
      <c r="O30" s="65">
        <f t="shared" si="7"/>
        <v>1257943389.4058874</v>
      </c>
      <c r="P30" s="66">
        <f t="shared" si="8"/>
        <v>1363464023.6563942</v>
      </c>
      <c r="Q30" s="66">
        <v>0</v>
      </c>
      <c r="R30" s="66">
        <v>0</v>
      </c>
      <c r="S30" s="66">
        <f>R30/Discount!B12</f>
        <v>0</v>
      </c>
    </row>
    <row r="31" spans="1:19" s="54" customFormat="1">
      <c r="A31" s="54">
        <v>2029</v>
      </c>
      <c r="C31" s="63">
        <f t="shared" si="9"/>
        <v>304500.94841279654</v>
      </c>
      <c r="D31" s="71">
        <f t="shared" si="10"/>
        <v>1</v>
      </c>
      <c r="E31" s="71">
        <f t="shared" si="11"/>
        <v>0.2</v>
      </c>
      <c r="F31" s="71">
        <f t="shared" si="12"/>
        <v>0.6</v>
      </c>
      <c r="G31" s="71">
        <f t="shared" si="13"/>
        <v>0.1</v>
      </c>
      <c r="H31" s="71">
        <f t="shared" si="1"/>
        <v>0.1</v>
      </c>
      <c r="I31" s="71">
        <f t="shared" si="2"/>
        <v>0.3</v>
      </c>
      <c r="J31" s="65">
        <f t="shared" si="3"/>
        <v>19575060.969394065</v>
      </c>
      <c r="K31" s="65">
        <f t="shared" si="4"/>
        <v>128760.40104312541</v>
      </c>
      <c r="L31" s="65">
        <f t="shared" si="5"/>
        <v>68121212.173491329</v>
      </c>
      <c r="M31" s="65">
        <f t="shared" si="14"/>
        <v>17295653.869846847</v>
      </c>
      <c r="N31" s="65">
        <f t="shared" si="6"/>
        <v>2267662.0629655835</v>
      </c>
      <c r="O31" s="65">
        <f t="shared" si="7"/>
        <v>1280208987.3983717</v>
      </c>
      <c r="P31" s="66">
        <f t="shared" si="8"/>
        <v>1387597336.8751125</v>
      </c>
      <c r="Q31" s="66">
        <v>0</v>
      </c>
      <c r="R31" s="66">
        <v>0</v>
      </c>
      <c r="S31" s="66">
        <f>R31/Discount!B13</f>
        <v>0</v>
      </c>
    </row>
    <row r="32" spans="1:19" s="54" customFormat="1">
      <c r="A32" s="54">
        <v>2030</v>
      </c>
      <c r="B32" s="54">
        <v>1</v>
      </c>
      <c r="C32" s="63">
        <f t="shared" si="9"/>
        <v>309890.61519970302</v>
      </c>
      <c r="D32" s="71">
        <f t="shared" si="10"/>
        <v>1</v>
      </c>
      <c r="E32" s="71">
        <f t="shared" si="11"/>
        <v>0.2</v>
      </c>
      <c r="F32" s="71">
        <f t="shared" si="12"/>
        <v>0.6</v>
      </c>
      <c r="G32" s="71">
        <f t="shared" si="13"/>
        <v>0.1</v>
      </c>
      <c r="H32" s="71">
        <f t="shared" si="1"/>
        <v>0.1</v>
      </c>
      <c r="I32" s="71">
        <f t="shared" si="2"/>
        <v>0.3</v>
      </c>
      <c r="J32" s="65">
        <f t="shared" si="3"/>
        <v>19921539.548552338</v>
      </c>
      <c r="K32" s="65">
        <f t="shared" si="4"/>
        <v>131039.46014158872</v>
      </c>
      <c r="L32" s="65">
        <f t="shared" si="5"/>
        <v>69326957.628962129</v>
      </c>
      <c r="M32" s="65">
        <f t="shared" si="14"/>
        <v>17601786.943343133</v>
      </c>
      <c r="N32" s="65">
        <f t="shared" si="6"/>
        <v>2307799.6814800743</v>
      </c>
      <c r="O32" s="65">
        <f t="shared" si="7"/>
        <v>1302868686.4753227</v>
      </c>
      <c r="P32" s="66">
        <f t="shared" si="8"/>
        <v>1412157809.737802</v>
      </c>
      <c r="Q32" s="164">
        <f t="shared" ref="Q32:Q61" si="15">P32*$B$10</f>
        <v>338091042.87800997</v>
      </c>
      <c r="R32" s="66">
        <f t="shared" ref="R32:R49" si="16">P32-Q32</f>
        <v>1074066766.859792</v>
      </c>
      <c r="S32" s="66">
        <f>R32/Discount!B11</f>
        <v>625116637.22313344</v>
      </c>
    </row>
    <row r="33" spans="1:19" s="54" customFormat="1">
      <c r="A33" s="54">
        <v>2031</v>
      </c>
      <c r="B33" s="54">
        <v>2</v>
      </c>
      <c r="C33" s="63">
        <f t="shared" si="9"/>
        <v>315375.67908873776</v>
      </c>
      <c r="D33" s="71">
        <f t="shared" si="10"/>
        <v>1</v>
      </c>
      <c r="E33" s="71">
        <f t="shared" si="11"/>
        <v>0.2</v>
      </c>
      <c r="F33" s="71">
        <f t="shared" si="12"/>
        <v>0.6</v>
      </c>
      <c r="G33" s="71">
        <f t="shared" si="13"/>
        <v>0.1</v>
      </c>
      <c r="H33" s="71">
        <f t="shared" si="1"/>
        <v>0.1</v>
      </c>
      <c r="I33" s="71">
        <f t="shared" si="2"/>
        <v>0.3</v>
      </c>
      <c r="J33" s="65">
        <f t="shared" si="3"/>
        <v>20274150.798561715</v>
      </c>
      <c r="K33" s="65">
        <f t="shared" si="4"/>
        <v>133358.85858609484</v>
      </c>
      <c r="L33" s="65">
        <f t="shared" si="5"/>
        <v>70554044.778994754</v>
      </c>
      <c r="M33" s="65">
        <f t="shared" si="14"/>
        <v>17913338.572240304</v>
      </c>
      <c r="N33" s="65">
        <f t="shared" si="6"/>
        <v>2348647.7358422717</v>
      </c>
      <c r="O33" s="65">
        <f t="shared" si="7"/>
        <v>1325929462.2259359</v>
      </c>
      <c r="P33" s="66">
        <f t="shared" si="8"/>
        <v>1437153002.970161</v>
      </c>
      <c r="Q33" s="164">
        <f t="shared" si="15"/>
        <v>344075254.33695072</v>
      </c>
      <c r="R33" s="66">
        <f t="shared" si="16"/>
        <v>1093077748.6332102</v>
      </c>
      <c r="S33" s="66">
        <f>R33/Discount!B12</f>
        <v>594561870.74951661</v>
      </c>
    </row>
    <row r="34" spans="1:19" s="54" customFormat="1">
      <c r="A34" s="54">
        <v>2032</v>
      </c>
      <c r="B34" s="54">
        <v>3</v>
      </c>
      <c r="C34" s="63">
        <f t="shared" si="9"/>
        <v>320957.8286086084</v>
      </c>
      <c r="D34" s="71">
        <f t="shared" si="10"/>
        <v>1</v>
      </c>
      <c r="E34" s="71">
        <f t="shared" si="11"/>
        <v>0.2</v>
      </c>
      <c r="F34" s="71">
        <f t="shared" si="12"/>
        <v>0.6</v>
      </c>
      <c r="G34" s="71">
        <f t="shared" si="13"/>
        <v>0.1</v>
      </c>
      <c r="H34" s="71">
        <f t="shared" si="1"/>
        <v>0.1</v>
      </c>
      <c r="I34" s="71">
        <f t="shared" si="2"/>
        <v>0.3</v>
      </c>
      <c r="J34" s="65">
        <f t="shared" si="3"/>
        <v>20633003.267696258</v>
      </c>
      <c r="K34" s="65">
        <f t="shared" si="4"/>
        <v>135719.31038306869</v>
      </c>
      <c r="L34" s="65">
        <f t="shared" si="5"/>
        <v>71802851.371582955</v>
      </c>
      <c r="M34" s="65">
        <f t="shared" si="14"/>
        <v>18230404.664968956</v>
      </c>
      <c r="N34" s="65">
        <f t="shared" si="6"/>
        <v>2390218.8007666795</v>
      </c>
      <c r="O34" s="65">
        <f t="shared" si="7"/>
        <v>1349398413.707335</v>
      </c>
      <c r="P34" s="66">
        <f t="shared" si="8"/>
        <v>1462590611.1227329</v>
      </c>
      <c r="Q34" s="164">
        <f t="shared" si="15"/>
        <v>350165386.33871478</v>
      </c>
      <c r="R34" s="66">
        <f t="shared" si="16"/>
        <v>1112425224.784018</v>
      </c>
      <c r="S34" s="66">
        <f>R34/Discount!B13</f>
        <v>565500575.57175994</v>
      </c>
    </row>
    <row r="35" spans="1:19" s="54" customFormat="1">
      <c r="A35" s="54">
        <v>2033</v>
      </c>
      <c r="B35" s="54">
        <v>4</v>
      </c>
      <c r="C35" s="63">
        <f t="shared" si="9"/>
        <v>326638.78217498079</v>
      </c>
      <c r="D35" s="71">
        <f t="shared" si="10"/>
        <v>1</v>
      </c>
      <c r="E35" s="71">
        <f t="shared" si="11"/>
        <v>0.2</v>
      </c>
      <c r="F35" s="71">
        <f t="shared" si="12"/>
        <v>0.6</v>
      </c>
      <c r="G35" s="71">
        <f t="shared" si="13"/>
        <v>0.1</v>
      </c>
      <c r="H35" s="71">
        <f t="shared" si="1"/>
        <v>0.1</v>
      </c>
      <c r="I35" s="71">
        <f t="shared" si="2"/>
        <v>0.3</v>
      </c>
      <c r="J35" s="65">
        <f t="shared" si="3"/>
        <v>20998207.425534483</v>
      </c>
      <c r="K35" s="65">
        <f t="shared" si="4"/>
        <v>138121.54217684903</v>
      </c>
      <c r="L35" s="65">
        <f t="shared" si="5"/>
        <v>73073761.840859979</v>
      </c>
      <c r="M35" s="65">
        <f t="shared" si="14"/>
        <v>18553082.827538911</v>
      </c>
      <c r="N35" s="65">
        <f t="shared" si="6"/>
        <v>2432525.6735402499</v>
      </c>
      <c r="O35" s="65">
        <f t="shared" si="7"/>
        <v>1373282765.6299548</v>
      </c>
      <c r="P35" s="66">
        <f t="shared" si="8"/>
        <v>1488478464.9396052</v>
      </c>
      <c r="Q35" s="164">
        <f t="shared" si="15"/>
        <v>356363313.67690998</v>
      </c>
      <c r="R35" s="66">
        <f t="shared" si="16"/>
        <v>1132115151.2626953</v>
      </c>
      <c r="S35" s="66">
        <f>R35/Discount!B14</f>
        <v>537859753.04614961</v>
      </c>
    </row>
    <row r="36" spans="1:19" s="54" customFormat="1">
      <c r="A36" s="54">
        <v>2034</v>
      </c>
      <c r="B36" s="54">
        <v>5</v>
      </c>
      <c r="C36" s="63">
        <f t="shared" si="9"/>
        <v>332420.28861947794</v>
      </c>
      <c r="D36" s="71">
        <f t="shared" si="10"/>
        <v>1</v>
      </c>
      <c r="E36" s="71">
        <f t="shared" si="11"/>
        <v>0.2</v>
      </c>
      <c r="F36" s="71">
        <f t="shared" si="12"/>
        <v>0.6</v>
      </c>
      <c r="G36" s="71">
        <f t="shared" si="13"/>
        <v>0.1</v>
      </c>
      <c r="H36" s="71">
        <f t="shared" si="1"/>
        <v>0.1</v>
      </c>
      <c r="I36" s="71">
        <f t="shared" si="2"/>
        <v>0.3</v>
      </c>
      <c r="J36" s="65">
        <f t="shared" si="3"/>
        <v>21369875.696966439</v>
      </c>
      <c r="K36" s="65">
        <f t="shared" si="4"/>
        <v>140566.29347337925</v>
      </c>
      <c r="L36" s="65">
        <f t="shared" si="5"/>
        <v>74367167.425443202</v>
      </c>
      <c r="M36" s="65">
        <f t="shared" si="14"/>
        <v>18881472.393586349</v>
      </c>
      <c r="N36" s="65">
        <f t="shared" si="6"/>
        <v>2475581.3779619122</v>
      </c>
      <c r="O36" s="65">
        <f t="shared" si="7"/>
        <v>1397589870.581605</v>
      </c>
      <c r="P36" s="66">
        <f t="shared" si="8"/>
        <v>1514824533.7690363</v>
      </c>
      <c r="Q36" s="164">
        <f t="shared" si="15"/>
        <v>362670944.32899135</v>
      </c>
      <c r="R36" s="66">
        <f t="shared" si="16"/>
        <v>1152153589.4400449</v>
      </c>
      <c r="S36" s="66">
        <f>R36/Discount!B15</f>
        <v>511569972.59352005</v>
      </c>
    </row>
    <row r="37" spans="1:19" s="54" customFormat="1">
      <c r="A37" s="54">
        <v>2035</v>
      </c>
      <c r="B37" s="54">
        <v>6</v>
      </c>
      <c r="C37" s="63">
        <f t="shared" si="9"/>
        <v>338304.12772804272</v>
      </c>
      <c r="D37" s="71">
        <f t="shared" si="10"/>
        <v>1</v>
      </c>
      <c r="E37" s="71">
        <f t="shared" si="11"/>
        <v>0.2</v>
      </c>
      <c r="F37" s="71">
        <f t="shared" si="12"/>
        <v>0.6</v>
      </c>
      <c r="G37" s="71">
        <f t="shared" si="13"/>
        <v>0.1</v>
      </c>
      <c r="H37" s="71">
        <f t="shared" si="1"/>
        <v>0.1</v>
      </c>
      <c r="I37" s="71">
        <f t="shared" si="2"/>
        <v>0.3</v>
      </c>
      <c r="J37" s="65">
        <f t="shared" si="3"/>
        <v>21748122.496802747</v>
      </c>
      <c r="K37" s="65">
        <f t="shared" si="4"/>
        <v>143054.31686785808</v>
      </c>
      <c r="L37" s="65">
        <f t="shared" si="5"/>
        <v>75683466.288873553</v>
      </c>
      <c r="M37" s="65">
        <f t="shared" si="14"/>
        <v>19215674.454952829</v>
      </c>
      <c r="N37" s="65">
        <f t="shared" si="6"/>
        <v>2519399.1683518384</v>
      </c>
      <c r="O37" s="65">
        <f t="shared" si="7"/>
        <v>1422327211.2908995</v>
      </c>
      <c r="P37" s="66">
        <f t="shared" si="8"/>
        <v>1541636928.0167484</v>
      </c>
      <c r="Q37" s="164">
        <f t="shared" si="15"/>
        <v>369090220.04361451</v>
      </c>
      <c r="R37" s="66">
        <f t="shared" si="16"/>
        <v>1172546707.973134</v>
      </c>
      <c r="S37" s="66">
        <f>R37/Discount!B16</f>
        <v>486565197.29759389</v>
      </c>
    </row>
    <row r="38" spans="1:19" s="54" customFormat="1">
      <c r="A38" s="54">
        <v>2036</v>
      </c>
      <c r="B38" s="54">
        <v>7</v>
      </c>
      <c r="C38" s="63">
        <f t="shared" si="9"/>
        <v>344292.1107888291</v>
      </c>
      <c r="D38" s="71">
        <f t="shared" si="10"/>
        <v>1</v>
      </c>
      <c r="E38" s="71">
        <f t="shared" si="11"/>
        <v>0.2</v>
      </c>
      <c r="F38" s="71">
        <f t="shared" si="12"/>
        <v>0.6</v>
      </c>
      <c r="G38" s="71">
        <f t="shared" si="13"/>
        <v>0.1</v>
      </c>
      <c r="H38" s="71">
        <f t="shared" si="1"/>
        <v>0.1</v>
      </c>
      <c r="I38" s="71">
        <f t="shared" si="2"/>
        <v>0.3</v>
      </c>
      <c r="J38" s="65">
        <f t="shared" si="3"/>
        <v>22133064.26499616</v>
      </c>
      <c r="K38" s="65">
        <f t="shared" si="4"/>
        <v>145586.37827641916</v>
      </c>
      <c r="L38" s="65">
        <f t="shared" si="5"/>
        <v>77023063.642186627</v>
      </c>
      <c r="M38" s="65">
        <f t="shared" si="14"/>
        <v>19555791.892805491</v>
      </c>
      <c r="N38" s="65">
        <f t="shared" si="6"/>
        <v>2563992.5336316661</v>
      </c>
      <c r="O38" s="65">
        <f t="shared" si="7"/>
        <v>1447502402.9307487</v>
      </c>
      <c r="P38" s="66">
        <f t="shared" si="8"/>
        <v>1568923901.6426451</v>
      </c>
      <c r="Q38" s="164">
        <f t="shared" si="15"/>
        <v>375623116.93838656</v>
      </c>
      <c r="R38" s="66">
        <f t="shared" si="16"/>
        <v>1193300784.7042584</v>
      </c>
      <c r="S38" s="66">
        <f>R38/Discount!B17</f>
        <v>462782618.02781433</v>
      </c>
    </row>
    <row r="39" spans="1:19" s="54" customFormat="1">
      <c r="A39" s="54">
        <v>2037</v>
      </c>
      <c r="B39" s="54">
        <v>8</v>
      </c>
      <c r="C39" s="63">
        <f t="shared" si="9"/>
        <v>350386.08114979137</v>
      </c>
      <c r="D39" s="71">
        <f t="shared" si="10"/>
        <v>1</v>
      </c>
      <c r="E39" s="71">
        <f t="shared" si="11"/>
        <v>0.2</v>
      </c>
      <c r="F39" s="71">
        <f t="shared" si="12"/>
        <v>0.6</v>
      </c>
      <c r="G39" s="71">
        <f t="shared" si="13"/>
        <v>0.1</v>
      </c>
      <c r="H39" s="71">
        <f t="shared" si="1"/>
        <v>0.1</v>
      </c>
      <c r="I39" s="71">
        <f t="shared" si="2"/>
        <v>0.3</v>
      </c>
      <c r="J39" s="65">
        <f t="shared" si="3"/>
        <v>22524819.50248659</v>
      </c>
      <c r="K39" s="65">
        <f t="shared" si="4"/>
        <v>148163.25717191177</v>
      </c>
      <c r="L39" s="65">
        <f t="shared" si="5"/>
        <v>78386371.868653327</v>
      </c>
      <c r="M39" s="65">
        <f t="shared" si="14"/>
        <v>19901929.40930815</v>
      </c>
      <c r="N39" s="65">
        <f t="shared" si="6"/>
        <v>2609375.2014769465</v>
      </c>
      <c r="O39" s="65">
        <f t="shared" si="7"/>
        <v>1473123195.4626229</v>
      </c>
      <c r="P39" s="66">
        <f t="shared" si="8"/>
        <v>1596693854.7017198</v>
      </c>
      <c r="Q39" s="164">
        <f t="shared" si="15"/>
        <v>382271646.10819596</v>
      </c>
      <c r="R39" s="66">
        <f t="shared" si="16"/>
        <v>1214422208.5935237</v>
      </c>
      <c r="S39" s="66">
        <f>R39/Discount!B18</f>
        <v>440162495.6700061</v>
      </c>
    </row>
    <row r="40" spans="1:19" s="54" customFormat="1">
      <c r="A40" s="54">
        <v>2038</v>
      </c>
      <c r="B40" s="54">
        <v>9</v>
      </c>
      <c r="C40" s="63">
        <f t="shared" si="9"/>
        <v>356587.91478614265</v>
      </c>
      <c r="D40" s="71">
        <f t="shared" si="10"/>
        <v>1</v>
      </c>
      <c r="E40" s="71">
        <f t="shared" si="11"/>
        <v>0.2</v>
      </c>
      <c r="F40" s="71">
        <f t="shared" si="12"/>
        <v>0.6</v>
      </c>
      <c r="G40" s="71">
        <f t="shared" si="13"/>
        <v>0.1</v>
      </c>
      <c r="H40" s="71">
        <f t="shared" si="1"/>
        <v>0.1</v>
      </c>
      <c r="I40" s="71">
        <f t="shared" si="2"/>
        <v>0.3</v>
      </c>
      <c r="J40" s="65">
        <f t="shared" si="3"/>
        <v>22923508.807680599</v>
      </c>
      <c r="K40" s="65">
        <f t="shared" si="4"/>
        <v>150785.7468238546</v>
      </c>
      <c r="L40" s="65">
        <f t="shared" si="5"/>
        <v>79773810.650728479</v>
      </c>
      <c r="M40" s="65">
        <f t="shared" si="14"/>
        <v>20254193.559852902</v>
      </c>
      <c r="N40" s="65">
        <f t="shared" si="6"/>
        <v>2655561.1425430882</v>
      </c>
      <c r="O40" s="65">
        <f t="shared" si="7"/>
        <v>1499197476.0223112</v>
      </c>
      <c r="P40" s="66">
        <f t="shared" si="8"/>
        <v>1624955335.9299402</v>
      </c>
      <c r="Q40" s="164">
        <f t="shared" si="15"/>
        <v>389037854.24431103</v>
      </c>
      <c r="R40" s="66">
        <f t="shared" si="16"/>
        <v>1235917481.6856291</v>
      </c>
      <c r="S40" s="66">
        <f>R40/Discount!B19</f>
        <v>418648011.06856567</v>
      </c>
    </row>
    <row r="41" spans="1:19" s="54" customFormat="1">
      <c r="A41" s="54">
        <v>2039</v>
      </c>
      <c r="B41" s="54">
        <v>10</v>
      </c>
      <c r="C41" s="63">
        <f t="shared" si="9"/>
        <v>362899.52087785734</v>
      </c>
      <c r="D41" s="71">
        <f t="shared" si="10"/>
        <v>1</v>
      </c>
      <c r="E41" s="71">
        <f t="shared" si="11"/>
        <v>0.2</v>
      </c>
      <c r="F41" s="71">
        <f t="shared" si="12"/>
        <v>0.6</v>
      </c>
      <c r="G41" s="71">
        <f t="shared" si="13"/>
        <v>0.1</v>
      </c>
      <c r="H41" s="71">
        <f t="shared" si="1"/>
        <v>0.1</v>
      </c>
      <c r="I41" s="71">
        <f t="shared" si="2"/>
        <v>0.3</v>
      </c>
      <c r="J41" s="65">
        <f t="shared" si="3"/>
        <v>23329254.913576547</v>
      </c>
      <c r="K41" s="65">
        <f t="shared" si="4"/>
        <v>153454.65454263682</v>
      </c>
      <c r="L41" s="65">
        <f t="shared" si="5"/>
        <v>81185807.099246368</v>
      </c>
      <c r="M41" s="65">
        <f t="shared" si="14"/>
        <v>20612692.785862297</v>
      </c>
      <c r="N41" s="65">
        <f t="shared" si="6"/>
        <v>2702564.5747661008</v>
      </c>
      <c r="O41" s="65">
        <f t="shared" si="7"/>
        <v>1525733271.3479059</v>
      </c>
      <c r="P41" s="66">
        <f t="shared" si="8"/>
        <v>1653717045.3758998</v>
      </c>
      <c r="Q41" s="164">
        <f t="shared" si="15"/>
        <v>395923824.26443523</v>
      </c>
      <c r="R41" s="66">
        <f t="shared" si="16"/>
        <v>1257793221.1114645</v>
      </c>
      <c r="S41" s="66">
        <f>R41/Discount!B20</f>
        <v>398185122.30325162</v>
      </c>
    </row>
    <row r="42" spans="1:19" s="54" customFormat="1">
      <c r="A42" s="54">
        <v>2040</v>
      </c>
      <c r="B42" s="54">
        <v>11</v>
      </c>
      <c r="C42" s="63">
        <f t="shared" si="9"/>
        <v>369322.8423973954</v>
      </c>
      <c r="D42" s="71">
        <f t="shared" si="10"/>
        <v>1</v>
      </c>
      <c r="E42" s="71">
        <f t="shared" si="11"/>
        <v>0.2</v>
      </c>
      <c r="F42" s="71">
        <f t="shared" si="12"/>
        <v>0.6</v>
      </c>
      <c r="G42" s="71">
        <f t="shared" si="13"/>
        <v>0.1</v>
      </c>
      <c r="H42" s="71">
        <f t="shared" si="1"/>
        <v>0.1</v>
      </c>
      <c r="I42" s="71">
        <f t="shared" si="2"/>
        <v>0.3</v>
      </c>
      <c r="J42" s="65">
        <f t="shared" si="3"/>
        <v>23742182.725546848</v>
      </c>
      <c r="K42" s="65">
        <f t="shared" si="4"/>
        <v>156170.8019280415</v>
      </c>
      <c r="L42" s="65">
        <f t="shared" si="5"/>
        <v>82622795.884903014</v>
      </c>
      <c r="M42" s="65">
        <f t="shared" si="14"/>
        <v>20977537.448172059</v>
      </c>
      <c r="N42" s="65">
        <f t="shared" si="6"/>
        <v>2750399.9677394605</v>
      </c>
      <c r="O42" s="65">
        <f t="shared" si="7"/>
        <v>1552738750.2507637</v>
      </c>
      <c r="P42" s="66">
        <f t="shared" si="8"/>
        <v>1682987837.0790532</v>
      </c>
      <c r="Q42" s="164">
        <f t="shared" si="15"/>
        <v>402931675.95391572</v>
      </c>
      <c r="R42" s="66">
        <f t="shared" si="16"/>
        <v>1280056161.1251373</v>
      </c>
      <c r="S42" s="66">
        <f>R42/Discount!B21</f>
        <v>378722428.94207394</v>
      </c>
    </row>
    <row r="43" spans="1:19" s="54" customFormat="1">
      <c r="A43" s="54">
        <v>2041</v>
      </c>
      <c r="B43" s="54">
        <v>12</v>
      </c>
      <c r="C43" s="63">
        <f t="shared" si="9"/>
        <v>375859.85670782928</v>
      </c>
      <c r="D43" s="71">
        <f t="shared" si="10"/>
        <v>1</v>
      </c>
      <c r="E43" s="71">
        <f t="shared" si="11"/>
        <v>0.2</v>
      </c>
      <c r="F43" s="71">
        <f t="shared" si="12"/>
        <v>0.6</v>
      </c>
      <c r="G43" s="71">
        <f t="shared" si="13"/>
        <v>0.1</v>
      </c>
      <c r="H43" s="71">
        <f t="shared" si="1"/>
        <v>0.1</v>
      </c>
      <c r="I43" s="71">
        <f t="shared" si="2"/>
        <v>0.3</v>
      </c>
      <c r="J43" s="65">
        <f t="shared" si="3"/>
        <v>24162419.359789029</v>
      </c>
      <c r="K43" s="65">
        <f t="shared" si="4"/>
        <v>158935.02512216783</v>
      </c>
      <c r="L43" s="65">
        <f t="shared" si="5"/>
        <v>84085219.372065797</v>
      </c>
      <c r="M43" s="65">
        <f t="shared" si="14"/>
        <v>21348839.861004706</v>
      </c>
      <c r="N43" s="65">
        <f t="shared" si="6"/>
        <v>2799082.047168449</v>
      </c>
      <c r="O43" s="65">
        <f t="shared" si="7"/>
        <v>1580222226.1302021</v>
      </c>
      <c r="P43" s="66">
        <f t="shared" si="8"/>
        <v>1712776721.7953522</v>
      </c>
      <c r="Q43" s="164">
        <f t="shared" si="15"/>
        <v>410063566.61830002</v>
      </c>
      <c r="R43" s="66">
        <f t="shared" si="16"/>
        <v>1302713155.1770523</v>
      </c>
      <c r="S43" s="66">
        <f>R43/Discount!B22</f>
        <v>360211042.9292978</v>
      </c>
    </row>
    <row r="44" spans="1:19" s="54" customFormat="1">
      <c r="A44" s="54">
        <v>2042</v>
      </c>
      <c r="B44" s="54">
        <v>13</v>
      </c>
      <c r="C44" s="63">
        <f t="shared" si="9"/>
        <v>382512.57617155788</v>
      </c>
      <c r="D44" s="71">
        <f t="shared" si="10"/>
        <v>1</v>
      </c>
      <c r="E44" s="71">
        <f t="shared" si="11"/>
        <v>0.2</v>
      </c>
      <c r="F44" s="71">
        <f t="shared" si="12"/>
        <v>0.6</v>
      </c>
      <c r="G44" s="71">
        <f t="shared" si="13"/>
        <v>0.1</v>
      </c>
      <c r="H44" s="71">
        <f t="shared" si="1"/>
        <v>0.1</v>
      </c>
      <c r="I44" s="71">
        <f t="shared" si="2"/>
        <v>0.3</v>
      </c>
      <c r="J44" s="65">
        <f t="shared" si="3"/>
        <v>24590094.182457294</v>
      </c>
      <c r="K44" s="65">
        <f t="shared" si="4"/>
        <v>161748.17506683018</v>
      </c>
      <c r="L44" s="65">
        <f t="shared" si="5"/>
        <v>85573527.754951373</v>
      </c>
      <c r="M44" s="65">
        <f t="shared" si="14"/>
        <v>21726714.326544486</v>
      </c>
      <c r="N44" s="65">
        <f t="shared" si="6"/>
        <v>2848625.7994033303</v>
      </c>
      <c r="O44" s="65">
        <f t="shared" si="7"/>
        <v>1608192159.532707</v>
      </c>
      <c r="P44" s="66">
        <f t="shared" si="8"/>
        <v>1743092869.7711303</v>
      </c>
      <c r="Q44" s="164">
        <f t="shared" si="15"/>
        <v>417321691.74744397</v>
      </c>
      <c r="R44" s="66">
        <f t="shared" si="16"/>
        <v>1325771178.0236864</v>
      </c>
      <c r="S44" s="66">
        <f>R44/Discount!B23</f>
        <v>342604465.78424907</v>
      </c>
    </row>
    <row r="45" spans="1:19" s="54" customFormat="1">
      <c r="A45" s="54">
        <v>2043</v>
      </c>
      <c r="B45" s="54">
        <v>14</v>
      </c>
      <c r="C45" s="63">
        <f t="shared" si="9"/>
        <v>389283.04876979446</v>
      </c>
      <c r="D45" s="71">
        <f t="shared" si="10"/>
        <v>1</v>
      </c>
      <c r="E45" s="71">
        <f t="shared" si="11"/>
        <v>0.2</v>
      </c>
      <c r="F45" s="71">
        <f t="shared" si="12"/>
        <v>0.6</v>
      </c>
      <c r="G45" s="71">
        <f t="shared" si="13"/>
        <v>0.1</v>
      </c>
      <c r="H45" s="71">
        <f t="shared" si="1"/>
        <v>0.1</v>
      </c>
      <c r="I45" s="71">
        <f t="shared" si="2"/>
        <v>0.3</v>
      </c>
      <c r="J45" s="65">
        <f t="shared" si="3"/>
        <v>25025338.849486791</v>
      </c>
      <c r="K45" s="65">
        <f t="shared" si="4"/>
        <v>164611.1177655131</v>
      </c>
      <c r="L45" s="65">
        <f t="shared" si="5"/>
        <v>87088179.196214005</v>
      </c>
      <c r="M45" s="65">
        <f t="shared" si="14"/>
        <v>22111277.170124326</v>
      </c>
      <c r="N45" s="65">
        <f t="shared" si="6"/>
        <v>2899046.4760527695</v>
      </c>
      <c r="O45" s="65">
        <f t="shared" si="7"/>
        <v>1636657160.7564359</v>
      </c>
      <c r="P45" s="66">
        <f t="shared" si="8"/>
        <v>1773945613.5660791</v>
      </c>
      <c r="Q45" s="164">
        <f t="shared" si="15"/>
        <v>424708285.69137371</v>
      </c>
      <c r="R45" s="66">
        <f t="shared" si="16"/>
        <v>1349237327.8747053</v>
      </c>
      <c r="S45" s="66">
        <f>R45/Discount!B24</f>
        <v>325858471.80245805</v>
      </c>
    </row>
    <row r="46" spans="1:19" s="54" customFormat="1">
      <c r="A46" s="54">
        <v>2044</v>
      </c>
      <c r="B46" s="54">
        <v>15</v>
      </c>
      <c r="C46" s="63">
        <f t="shared" si="9"/>
        <v>396173.35873301985</v>
      </c>
      <c r="D46" s="71">
        <f t="shared" si="10"/>
        <v>1</v>
      </c>
      <c r="E46" s="71">
        <f t="shared" si="11"/>
        <v>0.2</v>
      </c>
      <c r="F46" s="71">
        <f t="shared" si="12"/>
        <v>0.6</v>
      </c>
      <c r="G46" s="71">
        <f t="shared" si="13"/>
        <v>0.1</v>
      </c>
      <c r="H46" s="71">
        <f t="shared" si="1"/>
        <v>0.1</v>
      </c>
      <c r="I46" s="71">
        <f t="shared" si="2"/>
        <v>0.3</v>
      </c>
      <c r="J46" s="65">
        <f t="shared" si="3"/>
        <v>25468287.347122706</v>
      </c>
      <c r="K46" s="65">
        <f t="shared" si="4"/>
        <v>167524.73454996268</v>
      </c>
      <c r="L46" s="65">
        <f t="shared" si="5"/>
        <v>88629639.967987001</v>
      </c>
      <c r="M46" s="65">
        <f t="shared" si="14"/>
        <v>22502646.776035529</v>
      </c>
      <c r="N46" s="65">
        <f t="shared" si="6"/>
        <v>2950359.5986789037</v>
      </c>
      <c r="O46" s="65">
        <f t="shared" si="7"/>
        <v>1665625992.5018249</v>
      </c>
      <c r="P46" s="66">
        <f t="shared" si="8"/>
        <v>1805344450.926199</v>
      </c>
      <c r="Q46" s="164">
        <f t="shared" si="15"/>
        <v>432225622.34811109</v>
      </c>
      <c r="R46" s="66">
        <f t="shared" si="16"/>
        <v>1373118828.5780878</v>
      </c>
      <c r="S46" s="66">
        <f>R46/Discount!B25</f>
        <v>309930996.96575856</v>
      </c>
    </row>
    <row r="47" spans="1:19" s="54" customFormat="1">
      <c r="A47" s="54">
        <v>2045</v>
      </c>
      <c r="B47" s="54">
        <v>16</v>
      </c>
      <c r="C47" s="63">
        <f t="shared" si="9"/>
        <v>403185.62718259433</v>
      </c>
      <c r="D47" s="71">
        <f t="shared" si="10"/>
        <v>1</v>
      </c>
      <c r="E47" s="71">
        <f t="shared" si="11"/>
        <v>0.2</v>
      </c>
      <c r="F47" s="71">
        <f t="shared" si="12"/>
        <v>0.6</v>
      </c>
      <c r="G47" s="71">
        <f t="shared" si="13"/>
        <v>0.1</v>
      </c>
      <c r="H47" s="71">
        <f t="shared" si="1"/>
        <v>0.1</v>
      </c>
      <c r="I47" s="71">
        <f t="shared" si="2"/>
        <v>0.3</v>
      </c>
      <c r="J47" s="65">
        <f t="shared" si="3"/>
        <v>25919076.033166781</v>
      </c>
      <c r="K47" s="65">
        <f t="shared" si="4"/>
        <v>170489.92235149702</v>
      </c>
      <c r="L47" s="65">
        <f t="shared" si="5"/>
        <v>90198384.595420375</v>
      </c>
      <c r="M47" s="65">
        <f t="shared" si="14"/>
        <v>22900943.623971358</v>
      </c>
      <c r="N47" s="65">
        <f t="shared" si="6"/>
        <v>3002580.9635755206</v>
      </c>
      <c r="O47" s="65">
        <f t="shared" si="7"/>
        <v>1695107572.5691073</v>
      </c>
      <c r="P47" s="66">
        <f t="shared" si="8"/>
        <v>1837299047.7075927</v>
      </c>
      <c r="Q47" s="164">
        <f t="shared" si="15"/>
        <v>439876015.86367267</v>
      </c>
      <c r="R47" s="66">
        <f t="shared" si="16"/>
        <v>1397423031.84392</v>
      </c>
      <c r="S47" s="66">
        <f>R47/Discount!B26</f>
        <v>294782033.28229201</v>
      </c>
    </row>
    <row r="48" spans="1:19" s="54" customFormat="1">
      <c r="A48" s="54">
        <v>2046</v>
      </c>
      <c r="B48" s="54">
        <v>17</v>
      </c>
      <c r="C48" s="63">
        <f t="shared" si="9"/>
        <v>410322.01278372627</v>
      </c>
      <c r="D48" s="71">
        <f t="shared" si="10"/>
        <v>1</v>
      </c>
      <c r="E48" s="71">
        <f t="shared" si="11"/>
        <v>0.2</v>
      </c>
      <c r="F48" s="71">
        <f t="shared" si="12"/>
        <v>0.6</v>
      </c>
      <c r="G48" s="71">
        <f t="shared" si="13"/>
        <v>0.1</v>
      </c>
      <c r="H48" s="71">
        <f t="shared" si="1"/>
        <v>0.1</v>
      </c>
      <c r="I48" s="71">
        <f t="shared" si="2"/>
        <v>0.3</v>
      </c>
      <c r="J48" s="65">
        <f t="shared" si="3"/>
        <v>26377843.678953834</v>
      </c>
      <c r="K48" s="65">
        <f t="shared" si="4"/>
        <v>173507.59397711855</v>
      </c>
      <c r="L48" s="65">
        <f t="shared" si="5"/>
        <v>91794896.002759323</v>
      </c>
      <c r="M48" s="65">
        <f t="shared" si="14"/>
        <v>23306290.326115653</v>
      </c>
      <c r="N48" s="65">
        <f t="shared" si="6"/>
        <v>3055726.6466308078</v>
      </c>
      <c r="O48" s="65">
        <f t="shared" si="7"/>
        <v>1725110976.6035805</v>
      </c>
      <c r="P48" s="66">
        <f t="shared" si="8"/>
        <v>1869819240.8520172</v>
      </c>
      <c r="Q48" s="164">
        <f t="shared" si="15"/>
        <v>447661821.34445965</v>
      </c>
      <c r="R48" s="66">
        <f t="shared" si="16"/>
        <v>1422157419.5075574</v>
      </c>
      <c r="S48" s="66">
        <f>R48/Discount!B27</f>
        <v>280373528.29101735</v>
      </c>
    </row>
    <row r="49" spans="1:19" s="54" customFormat="1">
      <c r="A49" s="54">
        <v>2047</v>
      </c>
      <c r="B49" s="54">
        <v>18</v>
      </c>
      <c r="C49" s="63">
        <f t="shared" si="9"/>
        <v>417584.71240999823</v>
      </c>
      <c r="D49" s="71">
        <f t="shared" si="10"/>
        <v>1</v>
      </c>
      <c r="E49" s="71">
        <f t="shared" si="11"/>
        <v>0.2</v>
      </c>
      <c r="F49" s="71">
        <f t="shared" si="12"/>
        <v>0.6</v>
      </c>
      <c r="G49" s="71">
        <f t="shared" si="13"/>
        <v>0.1</v>
      </c>
      <c r="H49" s="71">
        <f t="shared" si="1"/>
        <v>0.1</v>
      </c>
      <c r="I49" s="71">
        <f t="shared" si="2"/>
        <v>0.3</v>
      </c>
      <c r="J49" s="65">
        <f t="shared" si="3"/>
        <v>26844731.512071319</v>
      </c>
      <c r="K49" s="65">
        <f t="shared" si="4"/>
        <v>176578.67839051355</v>
      </c>
      <c r="L49" s="65">
        <f t="shared" si="5"/>
        <v>93419665.662008166</v>
      </c>
      <c r="M49" s="65">
        <f t="shared" si="14"/>
        <v>23718811.664887901</v>
      </c>
      <c r="N49" s="65">
        <f t="shared" si="6"/>
        <v>3109813.0082761729</v>
      </c>
      <c r="O49" s="65">
        <f t="shared" si="7"/>
        <v>1755645440.8894639</v>
      </c>
      <c r="P49" s="66">
        <f t="shared" si="8"/>
        <v>1902915041.415098</v>
      </c>
      <c r="Q49" s="164">
        <f t="shared" si="15"/>
        <v>455585435.58225662</v>
      </c>
      <c r="R49" s="66">
        <f t="shared" si="16"/>
        <v>1447329605.8328414</v>
      </c>
      <c r="S49" s="66">
        <f>R49/Discount!B28</f>
        <v>266669289.47828823</v>
      </c>
    </row>
    <row r="50" spans="1:19" s="54" customFormat="1">
      <c r="A50" s="54">
        <v>2048</v>
      </c>
      <c r="B50" s="54">
        <v>19</v>
      </c>
      <c r="C50" s="63">
        <f t="shared" si="9"/>
        <v>424975.9618196552</v>
      </c>
      <c r="D50" s="71">
        <f t="shared" si="10"/>
        <v>1</v>
      </c>
      <c r="E50" s="71">
        <f t="shared" si="11"/>
        <v>0.2</v>
      </c>
      <c r="F50" s="71">
        <f t="shared" si="12"/>
        <v>0.6</v>
      </c>
      <c r="G50" s="71">
        <f t="shared" si="13"/>
        <v>0.1</v>
      </c>
      <c r="H50" s="71">
        <f t="shared" si="1"/>
        <v>0.1</v>
      </c>
      <c r="I50" s="71">
        <f t="shared" si="2"/>
        <v>0.3</v>
      </c>
      <c r="J50" s="65">
        <f t="shared" si="3"/>
        <v>27319883.259834979</v>
      </c>
      <c r="K50" s="65">
        <f t="shared" si="4"/>
        <v>179704.12099802564</v>
      </c>
      <c r="L50" s="65">
        <f t="shared" si="5"/>
        <v>95073193.744225711</v>
      </c>
      <c r="M50" s="65">
        <f t="shared" si="14"/>
        <v>24138634.631356414</v>
      </c>
      <c r="N50" s="65">
        <f t="shared" si="6"/>
        <v>3164856.6985226609</v>
      </c>
      <c r="O50" s="65">
        <f t="shared" si="7"/>
        <v>1786720365.1932075</v>
      </c>
      <c r="P50" s="66">
        <f t="shared" si="8"/>
        <v>1936596637.6481452</v>
      </c>
      <c r="Q50" s="164">
        <f t="shared" si="15"/>
        <v>463649297.79206258</v>
      </c>
      <c r="R50" s="66">
        <f t="shared" ref="R50" si="17">P50-Q50</f>
        <v>1472947339.8560827</v>
      </c>
      <c r="S50" s="66">
        <f>R50/Discount!B29</f>
        <v>253634893.36640558</v>
      </c>
    </row>
    <row r="51" spans="1:19" s="54" customFormat="1">
      <c r="A51" s="54">
        <v>2049</v>
      </c>
      <c r="B51" s="54">
        <v>20</v>
      </c>
      <c r="C51" s="63">
        <f t="shared" si="9"/>
        <v>432498.03634386312</v>
      </c>
      <c r="D51" s="71">
        <f t="shared" si="10"/>
        <v>1</v>
      </c>
      <c r="E51" s="71">
        <f t="shared" si="11"/>
        <v>0.2</v>
      </c>
      <c r="F51" s="71">
        <f t="shared" si="12"/>
        <v>0.6</v>
      </c>
      <c r="G51" s="71">
        <f t="shared" si="13"/>
        <v>0.1</v>
      </c>
      <c r="H51" s="71">
        <f t="shared" si="1"/>
        <v>0.1</v>
      </c>
      <c r="I51" s="71">
        <f t="shared" si="2"/>
        <v>0.3</v>
      </c>
      <c r="J51" s="65">
        <f t="shared" si="3"/>
        <v>27803445.193534061</v>
      </c>
      <c r="K51" s="65">
        <f t="shared" si="4"/>
        <v>182884.88393969071</v>
      </c>
      <c r="L51" s="65">
        <f t="shared" si="5"/>
        <v>96755989.273498505</v>
      </c>
      <c r="M51" s="65">
        <f t="shared" si="14"/>
        <v>24565888.464331426</v>
      </c>
      <c r="N51" s="65">
        <f t="shared" si="6"/>
        <v>3220874.6620865124</v>
      </c>
      <c r="O51" s="65">
        <f t="shared" si="7"/>
        <v>1818345315.6571271</v>
      </c>
      <c r="P51" s="66">
        <f t="shared" si="8"/>
        <v>1970874398.1345174</v>
      </c>
      <c r="Q51" s="164">
        <f t="shared" si="15"/>
        <v>471855890.36298209</v>
      </c>
      <c r="R51" s="66">
        <f t="shared" ref="R51:R58" si="18">P51-Q51</f>
        <v>1499018507.7715354</v>
      </c>
      <c r="S51" s="66">
        <f>R51/Discount!B30</f>
        <v>241237599.04578587</v>
      </c>
    </row>
    <row r="52" spans="1:19" s="54" customFormat="1">
      <c r="A52" s="54">
        <v>2050</v>
      </c>
      <c r="B52" s="54">
        <v>21</v>
      </c>
      <c r="C52" s="63">
        <f t="shared" si="9"/>
        <v>440153.25158714951</v>
      </c>
      <c r="D52" s="71">
        <f t="shared" si="10"/>
        <v>1</v>
      </c>
      <c r="E52" s="71">
        <f t="shared" si="11"/>
        <v>0.2</v>
      </c>
      <c r="F52" s="71">
        <f t="shared" si="12"/>
        <v>0.6</v>
      </c>
      <c r="G52" s="71">
        <f t="shared" si="13"/>
        <v>0.1</v>
      </c>
      <c r="H52" s="71">
        <f t="shared" si="1"/>
        <v>0.1</v>
      </c>
      <c r="I52" s="71">
        <f t="shared" si="2"/>
        <v>0.3</v>
      </c>
      <c r="J52" s="65">
        <f t="shared" si="3"/>
        <v>28295566.173459616</v>
      </c>
      <c r="K52" s="65">
        <f t="shared" si="4"/>
        <v>186121.94638542325</v>
      </c>
      <c r="L52" s="65">
        <f t="shared" si="5"/>
        <v>98468570.283639431</v>
      </c>
      <c r="M52" s="65">
        <f t="shared" si="14"/>
        <v>25000704.690150097</v>
      </c>
      <c r="N52" s="65">
        <f t="shared" si="6"/>
        <v>3277884.1436054441</v>
      </c>
      <c r="O52" s="65">
        <f t="shared" si="7"/>
        <v>1850530027.7442584</v>
      </c>
      <c r="P52" s="66">
        <f t="shared" si="8"/>
        <v>2005758874.9814985</v>
      </c>
      <c r="Q52" s="164">
        <f t="shared" si="15"/>
        <v>480207739.6224069</v>
      </c>
      <c r="R52" s="66">
        <f t="shared" si="18"/>
        <v>1525551135.3590915</v>
      </c>
      <c r="S52" s="66">
        <f>R52/Discount!B31</f>
        <v>229446265.93354797</v>
      </c>
    </row>
    <row r="53" spans="1:19" s="54" customFormat="1">
      <c r="A53" s="54">
        <v>2051</v>
      </c>
      <c r="B53" s="54">
        <v>22</v>
      </c>
      <c r="C53" s="63">
        <f t="shared" si="9"/>
        <v>447943.96414024208</v>
      </c>
      <c r="D53" s="71">
        <f t="shared" si="10"/>
        <v>1</v>
      </c>
      <c r="E53" s="71">
        <f t="shared" si="11"/>
        <v>0.2</v>
      </c>
      <c r="F53" s="71">
        <f t="shared" si="12"/>
        <v>0.6</v>
      </c>
      <c r="G53" s="71">
        <f t="shared" si="13"/>
        <v>0.1</v>
      </c>
      <c r="H53" s="71">
        <f t="shared" si="1"/>
        <v>0.1</v>
      </c>
      <c r="I53" s="71">
        <f t="shared" si="2"/>
        <v>0.3</v>
      </c>
      <c r="J53" s="65">
        <f t="shared" si="3"/>
        <v>28796397.69472985</v>
      </c>
      <c r="K53" s="65">
        <f t="shared" si="4"/>
        <v>189416.30483644523</v>
      </c>
      <c r="L53" s="65">
        <f t="shared" si="5"/>
        <v>100211463.97765985</v>
      </c>
      <c r="M53" s="65">
        <f t="shared" si="14"/>
        <v>25443217.163165752</v>
      </c>
      <c r="N53" s="65">
        <f t="shared" si="6"/>
        <v>3335902.6929472601</v>
      </c>
      <c r="O53" s="65">
        <f t="shared" si="7"/>
        <v>1883284409.2353318</v>
      </c>
      <c r="P53" s="66">
        <f t="shared" si="8"/>
        <v>2041260807.068671</v>
      </c>
      <c r="Q53" s="164">
        <f t="shared" si="15"/>
        <v>488707416.61372352</v>
      </c>
      <c r="R53" s="66">
        <f t="shared" si="18"/>
        <v>1552553390.4549475</v>
      </c>
      <c r="S53" s="66">
        <f>R53/Discount!B32</f>
        <v>218231275.55193624</v>
      </c>
    </row>
    <row r="54" spans="1:19" s="54" customFormat="1">
      <c r="A54" s="54">
        <v>2052</v>
      </c>
      <c r="B54" s="54">
        <v>23</v>
      </c>
      <c r="C54" s="63">
        <f t="shared" si="9"/>
        <v>455872.57230552437</v>
      </c>
      <c r="D54" s="71">
        <f t="shared" si="10"/>
        <v>1</v>
      </c>
      <c r="E54" s="71">
        <f t="shared" si="11"/>
        <v>0.2</v>
      </c>
      <c r="F54" s="71">
        <f t="shared" si="12"/>
        <v>0.6</v>
      </c>
      <c r="G54" s="71">
        <f t="shared" si="13"/>
        <v>0.1</v>
      </c>
      <c r="H54" s="71">
        <f t="shared" si="1"/>
        <v>0.1</v>
      </c>
      <c r="I54" s="71">
        <f t="shared" si="2"/>
        <v>0.3</v>
      </c>
      <c r="J54" s="65">
        <f t="shared" si="3"/>
        <v>29306093.933926571</v>
      </c>
      <c r="K54" s="65">
        <f t="shared" si="4"/>
        <v>192768.97343205032</v>
      </c>
      <c r="L54" s="65">
        <f t="shared" si="5"/>
        <v>101985206.89006445</v>
      </c>
      <c r="M54" s="65">
        <f t="shared" si="14"/>
        <v>25893562.106953785</v>
      </c>
      <c r="N54" s="65">
        <f t="shared" si="6"/>
        <v>3394948.1706124265</v>
      </c>
      <c r="O54" s="65">
        <f t="shared" si="7"/>
        <v>1916618543.2787974</v>
      </c>
      <c r="P54" s="66">
        <f t="shared" si="8"/>
        <v>2077391123.3537867</v>
      </c>
      <c r="Q54" s="164">
        <f t="shared" si="15"/>
        <v>497357537.88778645</v>
      </c>
      <c r="R54" s="66">
        <f t="shared" si="18"/>
        <v>1580033585.4660003</v>
      </c>
      <c r="S54" s="66">
        <f>R54/Discount!B33</f>
        <v>207564457.13009864</v>
      </c>
    </row>
    <row r="55" spans="1:19" s="54" customFormat="1">
      <c r="A55" s="54">
        <v>2053</v>
      </c>
      <c r="B55" s="54">
        <v>24</v>
      </c>
      <c r="C55" s="63">
        <f t="shared" si="9"/>
        <v>463941.51683533215</v>
      </c>
      <c r="D55" s="71">
        <f t="shared" si="10"/>
        <v>1</v>
      </c>
      <c r="E55" s="71">
        <f t="shared" si="11"/>
        <v>0.2</v>
      </c>
      <c r="F55" s="71">
        <f t="shared" si="12"/>
        <v>0.6</v>
      </c>
      <c r="G55" s="71">
        <f t="shared" si="13"/>
        <v>0.1</v>
      </c>
      <c r="H55" s="71">
        <f t="shared" si="1"/>
        <v>0.1</v>
      </c>
      <c r="I55" s="71">
        <f t="shared" si="2"/>
        <v>0.3</v>
      </c>
      <c r="J55" s="65">
        <f t="shared" si="3"/>
        <v>29824811.796557069</v>
      </c>
      <c r="K55" s="65">
        <f t="shared" si="4"/>
        <v>196180.9842617976</v>
      </c>
      <c r="L55" s="65">
        <f t="shared" si="5"/>
        <v>103790345.05201858</v>
      </c>
      <c r="M55" s="65">
        <f t="shared" si="14"/>
        <v>26351878.156246867</v>
      </c>
      <c r="N55" s="65">
        <f t="shared" si="6"/>
        <v>3455038.7532322668</v>
      </c>
      <c r="O55" s="65">
        <f t="shared" si="7"/>
        <v>1950542691.494832</v>
      </c>
      <c r="P55" s="66">
        <f t="shared" si="8"/>
        <v>2114160946.2371485</v>
      </c>
      <c r="Q55" s="164">
        <f t="shared" si="15"/>
        <v>506160766.30840021</v>
      </c>
      <c r="R55" s="66">
        <f t="shared" si="18"/>
        <v>1608000179.9287484</v>
      </c>
      <c r="S55" s="66">
        <f>R55/Discount!B34</f>
        <v>197419016.8423377</v>
      </c>
    </row>
    <row r="56" spans="1:19" s="54" customFormat="1">
      <c r="A56" s="54">
        <v>2054</v>
      </c>
      <c r="B56" s="54">
        <v>25</v>
      </c>
      <c r="C56" s="63">
        <f t="shared" si="9"/>
        <v>472153.2816833175</v>
      </c>
      <c r="D56" s="71">
        <f t="shared" si="10"/>
        <v>1</v>
      </c>
      <c r="E56" s="71">
        <f t="shared" si="11"/>
        <v>0.2</v>
      </c>
      <c r="F56" s="71">
        <f t="shared" si="12"/>
        <v>0.6</v>
      </c>
      <c r="G56" s="71">
        <f t="shared" si="13"/>
        <v>0.1</v>
      </c>
      <c r="H56" s="71">
        <f t="shared" si="1"/>
        <v>0.1</v>
      </c>
      <c r="I56" s="71">
        <f t="shared" si="2"/>
        <v>0.3</v>
      </c>
      <c r="J56" s="65">
        <f t="shared" si="3"/>
        <v>30352710.965356126</v>
      </c>
      <c r="K56" s="65">
        <f t="shared" si="4"/>
        <v>199653.38768323141</v>
      </c>
      <c r="L56" s="65">
        <f t="shared" si="5"/>
        <v>105627434.15943931</v>
      </c>
      <c r="M56" s="65">
        <f t="shared" si="14"/>
        <v>26818306.399612438</v>
      </c>
      <c r="N56" s="65">
        <f t="shared" si="6"/>
        <v>3516192.9391644779</v>
      </c>
      <c r="O56" s="65">
        <f t="shared" si="7"/>
        <v>1985067297.1342907</v>
      </c>
      <c r="P56" s="66">
        <f t="shared" si="8"/>
        <v>2151581594.9855461</v>
      </c>
      <c r="Q56" s="164">
        <f t="shared" si="15"/>
        <v>515119811.87205893</v>
      </c>
      <c r="R56" s="66">
        <f t="shared" si="18"/>
        <v>1636461783.1134872</v>
      </c>
      <c r="S56" s="66">
        <f>R56/Discount!B35</f>
        <v>187769470.50509074</v>
      </c>
    </row>
    <row r="57" spans="1:19" s="54" customFormat="1">
      <c r="A57" s="54">
        <v>2055</v>
      </c>
      <c r="B57" s="54">
        <v>26</v>
      </c>
      <c r="C57" s="63">
        <f t="shared" si="9"/>
        <v>480510.39476911223</v>
      </c>
      <c r="D57" s="71">
        <f t="shared" si="10"/>
        <v>1</v>
      </c>
      <c r="E57" s="71">
        <f t="shared" si="11"/>
        <v>0.2</v>
      </c>
      <c r="F57" s="71">
        <f t="shared" si="12"/>
        <v>0.6</v>
      </c>
      <c r="G57" s="71">
        <f t="shared" si="13"/>
        <v>0.1</v>
      </c>
      <c r="H57" s="71">
        <f t="shared" si="1"/>
        <v>0.1</v>
      </c>
      <c r="I57" s="71">
        <f t="shared" si="2"/>
        <v>0.3</v>
      </c>
      <c r="J57" s="65">
        <f t="shared" si="3"/>
        <v>30889953.949442931</v>
      </c>
      <c r="K57" s="65">
        <f t="shared" si="4"/>
        <v>203187.25264522462</v>
      </c>
      <c r="L57" s="65">
        <f t="shared" si="5"/>
        <v>107497039.74406138</v>
      </c>
      <c r="M57" s="65">
        <f t="shared" si="14"/>
        <v>27292990.422885574</v>
      </c>
      <c r="N57" s="65">
        <f t="shared" si="6"/>
        <v>3578429.554187689</v>
      </c>
      <c r="O57" s="65">
        <f t="shared" si="7"/>
        <v>2020202988.2935672</v>
      </c>
      <c r="P57" s="66">
        <f t="shared" si="8"/>
        <v>2189664589.2167902</v>
      </c>
      <c r="Q57" s="164">
        <f t="shared" si="15"/>
        <v>524237432.54219437</v>
      </c>
      <c r="R57" s="66">
        <f t="shared" si="18"/>
        <v>1665427156.6745958</v>
      </c>
      <c r="S57" s="66">
        <f>R57/Discount!B36</f>
        <v>178591579.56358021</v>
      </c>
    </row>
    <row r="58" spans="1:19" s="54" customFormat="1">
      <c r="A58" s="54">
        <v>2056</v>
      </c>
      <c r="B58" s="54">
        <v>27</v>
      </c>
      <c r="C58" s="63">
        <f t="shared" si="9"/>
        <v>489015.42875652551</v>
      </c>
      <c r="D58" s="71">
        <f t="shared" si="10"/>
        <v>1</v>
      </c>
      <c r="E58" s="71">
        <f t="shared" si="11"/>
        <v>0.2</v>
      </c>
      <c r="F58" s="71">
        <f t="shared" si="12"/>
        <v>0.6</v>
      </c>
      <c r="G58" s="71">
        <f t="shared" si="13"/>
        <v>0.1</v>
      </c>
      <c r="H58" s="71">
        <f t="shared" si="1"/>
        <v>0.1</v>
      </c>
      <c r="I58" s="71">
        <f t="shared" si="2"/>
        <v>0.3</v>
      </c>
      <c r="J58" s="65">
        <f t="shared" si="3"/>
        <v>31436706.134348072</v>
      </c>
      <c r="K58" s="65">
        <f t="shared" si="4"/>
        <v>206783.66701704508</v>
      </c>
      <c r="L58" s="65">
        <f t="shared" si="5"/>
        <v>109399737.34753127</v>
      </c>
      <c r="M58" s="65">
        <f t="shared" si="14"/>
        <v>27776076.353370648</v>
      </c>
      <c r="N58" s="65">
        <f t="shared" si="6"/>
        <v>3641767.7572968109</v>
      </c>
      <c r="O58" s="65">
        <f t="shared" si="7"/>
        <v>2055960581.1863637</v>
      </c>
      <c r="P58" s="66">
        <f t="shared" si="8"/>
        <v>2228421652.4459276</v>
      </c>
      <c r="Q58" s="164">
        <f t="shared" si="15"/>
        <v>533516435.09819126</v>
      </c>
      <c r="R58" s="66">
        <f t="shared" si="18"/>
        <v>1694905217.3477364</v>
      </c>
      <c r="S58" s="66">
        <f>R58/Discount!B37</f>
        <v>169862290.2073417</v>
      </c>
    </row>
    <row r="59" spans="1:19" s="54" customFormat="1">
      <c r="A59" s="54">
        <v>2057</v>
      </c>
      <c r="B59" s="54">
        <v>28</v>
      </c>
      <c r="C59" s="63">
        <f t="shared" si="9"/>
        <v>497671.00184551603</v>
      </c>
      <c r="D59" s="71">
        <f t="shared" si="10"/>
        <v>1</v>
      </c>
      <c r="E59" s="71">
        <f t="shared" si="11"/>
        <v>0.2</v>
      </c>
      <c r="F59" s="71">
        <f t="shared" si="12"/>
        <v>0.6</v>
      </c>
      <c r="G59" s="71">
        <f t="shared" si="13"/>
        <v>0.1</v>
      </c>
      <c r="H59" s="71">
        <f t="shared" si="1"/>
        <v>0.1</v>
      </c>
      <c r="I59" s="71">
        <f t="shared" si="2"/>
        <v>0.3</v>
      </c>
      <c r="J59" s="65">
        <f t="shared" si="3"/>
        <v>31993135.832926035</v>
      </c>
      <c r="K59" s="65">
        <f t="shared" si="4"/>
        <v>210443.73792324681</v>
      </c>
      <c r="L59" s="65">
        <f t="shared" si="5"/>
        <v>111336112.69858259</v>
      </c>
      <c r="M59" s="65">
        <f t="shared" si="14"/>
        <v>28267712.904825315</v>
      </c>
      <c r="N59" s="65">
        <f t="shared" si="6"/>
        <v>3706227.0466009649</v>
      </c>
      <c r="O59" s="65">
        <f t="shared" si="7"/>
        <v>2092351083.4733624</v>
      </c>
      <c r="P59" s="66">
        <f t="shared" si="8"/>
        <v>2267864715.6942205</v>
      </c>
      <c r="Q59" s="164">
        <f t="shared" si="15"/>
        <v>542959675.99942923</v>
      </c>
      <c r="R59" s="66">
        <f t="shared" ref="R59:R61" si="19">P59-Q59</f>
        <v>1724905039.6947913</v>
      </c>
      <c r="S59" s="66">
        <f>R59/Discount!B38</f>
        <v>161559675.46169311</v>
      </c>
    </row>
    <row r="60" spans="1:19" s="54" customFormat="1">
      <c r="A60" s="54">
        <v>2058</v>
      </c>
      <c r="B60" s="54">
        <v>29</v>
      </c>
      <c r="C60" s="63">
        <f t="shared" si="9"/>
        <v>506479.77857818169</v>
      </c>
      <c r="D60" s="71">
        <f t="shared" si="10"/>
        <v>1</v>
      </c>
      <c r="E60" s="71">
        <f t="shared" si="11"/>
        <v>0.2</v>
      </c>
      <c r="F60" s="71">
        <f t="shared" si="12"/>
        <v>0.6</v>
      </c>
      <c r="G60" s="71">
        <f t="shared" si="13"/>
        <v>0.1</v>
      </c>
      <c r="H60" s="71">
        <f t="shared" si="1"/>
        <v>0.1</v>
      </c>
      <c r="I60" s="71">
        <f t="shared" si="2"/>
        <v>0.3</v>
      </c>
      <c r="J60" s="65">
        <f t="shared" si="3"/>
        <v>32559414.337168828</v>
      </c>
      <c r="K60" s="65">
        <f t="shared" si="4"/>
        <v>214168.59208448828</v>
      </c>
      <c r="L60" s="65">
        <f t="shared" si="5"/>
        <v>113306761.89334749</v>
      </c>
      <c r="M60" s="65">
        <f t="shared" si="14"/>
        <v>28768051.423240721</v>
      </c>
      <c r="N60" s="65">
        <f t="shared" si="6"/>
        <v>3771827.2653258019</v>
      </c>
      <c r="O60" s="65">
        <f t="shared" si="7"/>
        <v>2129385697.6508408</v>
      </c>
      <c r="P60" s="66">
        <f t="shared" si="8"/>
        <v>2308005921.1620083</v>
      </c>
      <c r="Q60" s="164">
        <f t="shared" si="15"/>
        <v>552570062.26461911</v>
      </c>
      <c r="R60" s="66">
        <f t="shared" si="19"/>
        <v>1755435858.8973892</v>
      </c>
      <c r="S60" s="66">
        <f>R60/Discount!B39</f>
        <v>153662880.109687</v>
      </c>
    </row>
    <row r="61" spans="1:19" s="54" customFormat="1">
      <c r="A61" s="54">
        <v>2059</v>
      </c>
      <c r="B61" s="54">
        <v>30</v>
      </c>
      <c r="C61" s="63">
        <f t="shared" si="9"/>
        <v>515444.47065901553</v>
      </c>
      <c r="D61" s="71">
        <f t="shared" si="10"/>
        <v>1</v>
      </c>
      <c r="E61" s="71">
        <f t="shared" si="11"/>
        <v>0.2</v>
      </c>
      <c r="F61" s="71">
        <f t="shared" si="12"/>
        <v>0.6</v>
      </c>
      <c r="G61" s="71">
        <f t="shared" si="13"/>
        <v>0.1</v>
      </c>
      <c r="H61" s="71">
        <f t="shared" si="1"/>
        <v>0.1</v>
      </c>
      <c r="I61" s="71">
        <f t="shared" si="2"/>
        <v>0.3</v>
      </c>
      <c r="J61" s="65">
        <f t="shared" si="3"/>
        <v>33135715.970936716</v>
      </c>
      <c r="K61" s="65">
        <f t="shared" si="4"/>
        <v>217959.37616438372</v>
      </c>
      <c r="L61" s="65">
        <f t="shared" si="5"/>
        <v>115312291.57885976</v>
      </c>
      <c r="M61" s="65">
        <f t="shared" si="14"/>
        <v>29277245.933432084</v>
      </c>
      <c r="N61" s="65">
        <f t="shared" si="6"/>
        <v>3838588.6079220688</v>
      </c>
      <c r="O61" s="65">
        <f t="shared" si="7"/>
        <v>2167075824.4992609</v>
      </c>
      <c r="P61" s="66">
        <f t="shared" si="8"/>
        <v>2348857625.9665761</v>
      </c>
      <c r="Q61" s="164">
        <f t="shared" si="15"/>
        <v>562350552.36670291</v>
      </c>
      <c r="R61" s="66">
        <f t="shared" si="19"/>
        <v>1786507073.5998731</v>
      </c>
      <c r="S61" s="66">
        <f>R61/Discount!B40</f>
        <v>146152068.30619481</v>
      </c>
    </row>
    <row r="62" spans="1:19" s="54" customFormat="1" ht="15.75" thickBot="1">
      <c r="A62" s="306" t="s">
        <v>387</v>
      </c>
      <c r="B62" s="306"/>
      <c r="C62" s="306"/>
      <c r="D62" s="108">
        <f t="shared" ref="D62:I62" si="20">SUM(D21:D61)</f>
        <v>41</v>
      </c>
      <c r="E62" s="108">
        <f t="shared" si="20"/>
        <v>8.2000000000000028</v>
      </c>
      <c r="F62" s="108">
        <f t="shared" si="20"/>
        <v>24.600000000000016</v>
      </c>
      <c r="G62" s="108">
        <f t="shared" si="20"/>
        <v>4.1000000000000014</v>
      </c>
      <c r="H62" s="108">
        <f t="shared" si="20"/>
        <v>4.1000000000000014</v>
      </c>
      <c r="I62" s="108">
        <f t="shared" si="20"/>
        <v>12.300000000000008</v>
      </c>
      <c r="J62" s="70"/>
      <c r="K62" s="118"/>
      <c r="L62" s="118"/>
      <c r="M62" s="118"/>
      <c r="N62" s="70"/>
      <c r="O62" s="70"/>
      <c r="P62" s="70"/>
      <c r="Q62" s="70"/>
      <c r="R62" s="70">
        <f t="shared" ref="R62:S62" si="21">SUM(R21:R49)</f>
        <v>22535625593.010754</v>
      </c>
      <c r="S62" s="70">
        <f t="shared" si="21"/>
        <v>7600104511.0267467</v>
      </c>
    </row>
    <row r="63" spans="1:19" s="54" customFormat="1" ht="15.75" thickTop="1"/>
    <row r="64" spans="1:19" s="54" customFormat="1">
      <c r="D64" s="71"/>
      <c r="E64" s="71"/>
      <c r="F64" s="71"/>
      <c r="R64" s="164"/>
      <c r="S64" s="164"/>
    </row>
    <row r="65" spans="1:37" s="54" customFormat="1"/>
    <row r="66" spans="1:37" s="54" customFormat="1" ht="15.75" thickBot="1">
      <c r="A66" s="314" t="s">
        <v>575</v>
      </c>
      <c r="B66" s="314"/>
      <c r="C66" s="314"/>
      <c r="D66" s="314"/>
      <c r="E66" s="314"/>
      <c r="F66" s="314"/>
      <c r="G66" s="314"/>
      <c r="H66" s="314"/>
      <c r="I66" s="314"/>
      <c r="J66" s="314"/>
      <c r="K66" s="314"/>
      <c r="L66" s="314"/>
      <c r="M66" s="314"/>
      <c r="N66" s="314"/>
      <c r="O66" s="314"/>
      <c r="P66" s="314"/>
    </row>
    <row r="67" spans="1:37" s="54" customFormat="1" ht="57.95" customHeight="1" thickBot="1">
      <c r="A67" s="135"/>
      <c r="B67" s="135"/>
      <c r="C67" s="341">
        <v>2010</v>
      </c>
      <c r="D67" s="341"/>
      <c r="E67" s="341">
        <v>2011</v>
      </c>
      <c r="F67" s="341"/>
      <c r="G67" s="135">
        <v>2012</v>
      </c>
      <c r="H67" s="135"/>
      <c r="I67" s="135">
        <v>2013</v>
      </c>
      <c r="J67" s="135"/>
      <c r="K67" s="135">
        <v>2014</v>
      </c>
      <c r="L67" s="135"/>
      <c r="M67" s="135">
        <v>2015</v>
      </c>
      <c r="N67" s="135"/>
      <c r="O67" s="135">
        <v>2016</v>
      </c>
      <c r="P67" s="135"/>
      <c r="Q67" s="135">
        <v>2017</v>
      </c>
      <c r="R67" s="135"/>
      <c r="S67" s="135">
        <v>2018</v>
      </c>
      <c r="T67" s="135"/>
      <c r="U67" s="135">
        <v>2019</v>
      </c>
      <c r="V67" s="135"/>
      <c r="W67" s="136" t="s">
        <v>600</v>
      </c>
      <c r="X67" s="136" t="s">
        <v>570</v>
      </c>
      <c r="Y67" s="136" t="s">
        <v>571</v>
      </c>
      <c r="Z67" s="136" t="s">
        <v>42</v>
      </c>
      <c r="AA67" s="171" t="s">
        <v>618</v>
      </c>
      <c r="AB67" s="171" t="s">
        <v>619</v>
      </c>
      <c r="AC67" s="171" t="s">
        <v>621</v>
      </c>
      <c r="AD67" s="171" t="s">
        <v>547</v>
      </c>
      <c r="AF67" s="135">
        <v>2020</v>
      </c>
      <c r="AG67" s="135"/>
      <c r="AH67" s="135">
        <v>2021</v>
      </c>
      <c r="AI67" s="135"/>
      <c r="AJ67" s="54" t="s">
        <v>716</v>
      </c>
    </row>
    <row r="68" spans="1:37" s="151" customFormat="1" ht="25.5" customHeight="1">
      <c r="A68" s="196"/>
      <c r="B68" s="196"/>
      <c r="C68" s="197" t="s">
        <v>568</v>
      </c>
      <c r="D68" s="198" t="s">
        <v>569</v>
      </c>
      <c r="E68" s="197" t="s">
        <v>568</v>
      </c>
      <c r="F68" s="198" t="s">
        <v>569</v>
      </c>
      <c r="G68" s="197" t="s">
        <v>568</v>
      </c>
      <c r="H68" s="198" t="s">
        <v>569</v>
      </c>
      <c r="I68" s="197" t="s">
        <v>568</v>
      </c>
      <c r="J68" s="198" t="s">
        <v>569</v>
      </c>
      <c r="K68" s="197" t="s">
        <v>568</v>
      </c>
      <c r="L68" s="198" t="s">
        <v>569</v>
      </c>
      <c r="M68" s="197" t="s">
        <v>568</v>
      </c>
      <c r="N68" s="198" t="s">
        <v>569</v>
      </c>
      <c r="O68" s="197" t="s">
        <v>568</v>
      </c>
      <c r="P68" s="198" t="s">
        <v>569</v>
      </c>
      <c r="Q68" s="197" t="s">
        <v>568</v>
      </c>
      <c r="R68" s="198" t="s">
        <v>569</v>
      </c>
      <c r="S68" s="197" t="s">
        <v>568</v>
      </c>
      <c r="T68" s="198" t="s">
        <v>569</v>
      </c>
      <c r="U68" s="197" t="s">
        <v>568</v>
      </c>
      <c r="V68" s="198" t="s">
        <v>569</v>
      </c>
      <c r="W68" s="189"/>
      <c r="X68" s="189"/>
      <c r="Y68" s="189"/>
      <c r="Z68" s="189"/>
      <c r="AA68" s="190"/>
      <c r="AB68" s="190"/>
      <c r="AC68" s="190"/>
      <c r="AD68" s="190"/>
      <c r="AF68" s="197" t="s">
        <v>568</v>
      </c>
      <c r="AG68" s="198" t="s">
        <v>569</v>
      </c>
      <c r="AH68" s="197" t="s">
        <v>568</v>
      </c>
      <c r="AI68" s="198" t="s">
        <v>569</v>
      </c>
    </row>
    <row r="69" spans="1:37" s="54" customFormat="1" ht="30">
      <c r="A69" s="73"/>
      <c r="B69" s="74" t="s">
        <v>41</v>
      </c>
      <c r="C69" s="191">
        <v>2</v>
      </c>
      <c r="D69" s="199"/>
      <c r="E69" s="191"/>
      <c r="F69" s="199"/>
      <c r="G69" s="191">
        <v>2</v>
      </c>
      <c r="H69" s="199"/>
      <c r="I69" s="191"/>
      <c r="J69" s="199"/>
      <c r="K69" s="191"/>
      <c r="L69" s="199"/>
      <c r="M69" s="191">
        <v>1</v>
      </c>
      <c r="N69" s="199"/>
      <c r="O69" s="191">
        <v>1</v>
      </c>
      <c r="P69" s="199"/>
      <c r="Q69" s="191">
        <v>1</v>
      </c>
      <c r="R69" s="199"/>
      <c r="S69" s="191"/>
      <c r="T69" s="199"/>
      <c r="U69" s="191">
        <v>3</v>
      </c>
      <c r="V69" s="199"/>
      <c r="W69" s="192">
        <f t="shared" ref="W69:W70" si="22">C69+E69+G69+I69+K69+M69+O69+Q69+S69+U69</f>
        <v>10</v>
      </c>
      <c r="X69" s="192">
        <f t="shared" ref="X69:X70" si="23">D69+F69+H69+J69+L69+N69+P69+R69+T69+V69</f>
        <v>0</v>
      </c>
      <c r="Y69" s="65">
        <v>4500</v>
      </c>
      <c r="Z69" s="65">
        <f>W69*Y69</f>
        <v>45000</v>
      </c>
      <c r="AA69" s="173">
        <f>W69*30/$C$78</f>
        <v>30</v>
      </c>
      <c r="AB69" s="173"/>
      <c r="AC69" s="172"/>
      <c r="AD69" s="172">
        <f>$AA69*(1-$B$10)</f>
        <v>22.817565277478785</v>
      </c>
      <c r="AF69" s="191">
        <v>1</v>
      </c>
      <c r="AG69" s="199"/>
      <c r="AH69" s="191">
        <v>2</v>
      </c>
      <c r="AI69" s="199"/>
      <c r="AJ69" s="259">
        <f>W69+AF69+AH69</f>
        <v>13</v>
      </c>
      <c r="AK69" s="259">
        <f>X69+AG69+AI69</f>
        <v>0</v>
      </c>
    </row>
    <row r="70" spans="1:37" s="54" customFormat="1">
      <c r="A70" s="73" t="s">
        <v>53</v>
      </c>
      <c r="B70" s="74" t="s">
        <v>55</v>
      </c>
      <c r="C70" s="191"/>
      <c r="D70" s="199"/>
      <c r="E70" s="191"/>
      <c r="F70" s="199"/>
      <c r="G70" s="191"/>
      <c r="H70" s="199"/>
      <c r="I70" s="191"/>
      <c r="J70" s="199"/>
      <c r="K70" s="191">
        <v>1</v>
      </c>
      <c r="L70" s="199">
        <v>2</v>
      </c>
      <c r="M70" s="191"/>
      <c r="N70" s="199"/>
      <c r="O70" s="191"/>
      <c r="P70" s="199"/>
      <c r="Q70" s="191"/>
      <c r="R70" s="199"/>
      <c r="S70" s="191"/>
      <c r="T70" s="199"/>
      <c r="U70" s="191"/>
      <c r="V70" s="199"/>
      <c r="W70" s="192">
        <f t="shared" si="22"/>
        <v>1</v>
      </c>
      <c r="X70" s="192">
        <f t="shared" si="23"/>
        <v>2</v>
      </c>
      <c r="Y70" s="65">
        <v>3700</v>
      </c>
      <c r="Z70" s="65">
        <f t="shared" ref="Z70:Z74" si="24">X70*Y70</f>
        <v>7400</v>
      </c>
      <c r="AA70" s="173">
        <f t="shared" ref="AA70" si="25">X70*30/$C$78</f>
        <v>6</v>
      </c>
      <c r="AB70" s="172">
        <f t="shared" ref="AB70:AC74" si="26">$AA70*(1-$B$10)</f>
        <v>4.5635130554957568</v>
      </c>
      <c r="AD70" s="172"/>
      <c r="AF70" s="191"/>
      <c r="AG70" s="199"/>
      <c r="AH70" s="191"/>
      <c r="AI70" s="199"/>
      <c r="AJ70" s="259">
        <f t="shared" ref="AJ70:AK74" si="27">W70+AF70+AH70</f>
        <v>1</v>
      </c>
      <c r="AK70" s="259">
        <f t="shared" si="27"/>
        <v>2</v>
      </c>
    </row>
    <row r="71" spans="1:37" s="54" customFormat="1" ht="30">
      <c r="A71" s="73" t="s">
        <v>52</v>
      </c>
      <c r="B71" s="74" t="s">
        <v>56</v>
      </c>
      <c r="C71" s="191"/>
      <c r="D71" s="199"/>
      <c r="E71" s="191">
        <v>1</v>
      </c>
      <c r="F71" s="199">
        <v>1</v>
      </c>
      <c r="G71" s="192"/>
      <c r="H71" s="201"/>
      <c r="I71" s="193"/>
      <c r="J71" s="202"/>
      <c r="K71" s="194">
        <v>1</v>
      </c>
      <c r="L71" s="199">
        <v>3</v>
      </c>
      <c r="M71" s="193"/>
      <c r="N71" s="202"/>
      <c r="O71" s="193"/>
      <c r="P71" s="202"/>
      <c r="Q71" s="193"/>
      <c r="R71" s="202"/>
      <c r="S71" s="192"/>
      <c r="T71" s="199">
        <v>2</v>
      </c>
      <c r="U71" s="192"/>
      <c r="V71" s="199"/>
      <c r="W71" s="192">
        <f>C71+E71+G71+I71+K71+M71+O71+Q71+S71+U71</f>
        <v>2</v>
      </c>
      <c r="X71" s="192">
        <f>D71+F71+H71+J71+L71+N71+P71+R71+T71+V71</f>
        <v>6</v>
      </c>
      <c r="Y71" s="65">
        <v>72500</v>
      </c>
      <c r="Z71" s="65">
        <f t="shared" si="24"/>
        <v>435000</v>
      </c>
      <c r="AA71" s="173">
        <f>X71*30/$C$78</f>
        <v>18</v>
      </c>
      <c r="AB71" s="172">
        <f t="shared" si="26"/>
        <v>13.69053916648727</v>
      </c>
      <c r="AD71" s="172"/>
      <c r="AF71" s="192"/>
      <c r="AG71" s="199"/>
      <c r="AH71" s="192"/>
      <c r="AI71" s="199"/>
      <c r="AJ71" s="259">
        <f t="shared" si="27"/>
        <v>2</v>
      </c>
      <c r="AK71" s="259">
        <f t="shared" si="27"/>
        <v>6</v>
      </c>
    </row>
    <row r="72" spans="1:37" s="54" customFormat="1" ht="30">
      <c r="A72" s="73" t="s">
        <v>51</v>
      </c>
      <c r="B72" s="74" t="s">
        <v>57</v>
      </c>
      <c r="C72" s="191"/>
      <c r="D72" s="199">
        <v>1</v>
      </c>
      <c r="E72" s="191"/>
      <c r="F72" s="199"/>
      <c r="G72" s="191"/>
      <c r="H72" s="199"/>
      <c r="I72" s="191"/>
      <c r="J72" s="199"/>
      <c r="K72" s="191"/>
      <c r="L72" s="199"/>
      <c r="M72" s="191"/>
      <c r="N72" s="199"/>
      <c r="O72" s="191"/>
      <c r="P72" s="199"/>
      <c r="Q72" s="191"/>
      <c r="R72" s="199"/>
      <c r="S72" s="191"/>
      <c r="T72" s="199"/>
      <c r="U72" s="191"/>
      <c r="V72" s="199"/>
      <c r="W72" s="192">
        <f>C72+E72+G72+I72+K72+M72+O72+Q72+S72+U72</f>
        <v>0</v>
      </c>
      <c r="X72" s="192">
        <f t="shared" ref="X72:X74" si="28">D72+F72+H72+J72+L72+N72+P72+R72+T72+V72</f>
        <v>1</v>
      </c>
      <c r="Y72" s="65">
        <v>142000</v>
      </c>
      <c r="Z72" s="65">
        <f t="shared" si="24"/>
        <v>142000</v>
      </c>
      <c r="AA72" s="173">
        <f t="shared" ref="AA72:AA74" si="29">X72*30/$C$78</f>
        <v>3</v>
      </c>
      <c r="AB72" s="172">
        <f t="shared" si="26"/>
        <v>2.2817565277478784</v>
      </c>
      <c r="AD72" s="172"/>
      <c r="AF72" s="191"/>
      <c r="AG72" s="199"/>
      <c r="AH72" s="191"/>
      <c r="AI72" s="199"/>
      <c r="AJ72" s="259">
        <f t="shared" si="27"/>
        <v>0</v>
      </c>
      <c r="AK72" s="259">
        <f t="shared" si="27"/>
        <v>1</v>
      </c>
    </row>
    <row r="73" spans="1:37" s="54" customFormat="1">
      <c r="A73" s="73" t="s">
        <v>50</v>
      </c>
      <c r="B73" s="74" t="s">
        <v>58</v>
      </c>
      <c r="C73" s="191"/>
      <c r="D73" s="199"/>
      <c r="E73" s="191"/>
      <c r="F73" s="199"/>
      <c r="G73" s="191"/>
      <c r="H73" s="199"/>
      <c r="I73" s="191"/>
      <c r="J73" s="199"/>
      <c r="K73" s="191"/>
      <c r="L73" s="199"/>
      <c r="M73" s="191"/>
      <c r="N73" s="199"/>
      <c r="O73" s="191"/>
      <c r="P73" s="199"/>
      <c r="Q73" s="191"/>
      <c r="R73" s="199"/>
      <c r="S73" s="191">
        <v>1</v>
      </c>
      <c r="T73" s="199">
        <v>1</v>
      </c>
      <c r="U73" s="191"/>
      <c r="V73" s="199"/>
      <c r="W73" s="192">
        <f>C73+E73+G73+I73+K73+M73+O73+Q73+S73+U73</f>
        <v>1</v>
      </c>
      <c r="X73" s="192">
        <f t="shared" si="28"/>
        <v>1</v>
      </c>
      <c r="Y73" s="65">
        <v>521300</v>
      </c>
      <c r="Z73" s="65">
        <f t="shared" si="24"/>
        <v>521300</v>
      </c>
      <c r="AA73" s="173">
        <f t="shared" si="29"/>
        <v>3</v>
      </c>
      <c r="AB73" s="172">
        <f t="shared" si="26"/>
        <v>2.2817565277478784</v>
      </c>
      <c r="AD73" s="172"/>
      <c r="AF73" s="191"/>
      <c r="AG73" s="199"/>
      <c r="AH73" s="191"/>
      <c r="AI73" s="199"/>
      <c r="AJ73" s="259">
        <f t="shared" si="27"/>
        <v>1</v>
      </c>
      <c r="AK73" s="259">
        <f t="shared" si="27"/>
        <v>1</v>
      </c>
    </row>
    <row r="74" spans="1:37" s="54" customFormat="1">
      <c r="A74" s="73" t="s">
        <v>49</v>
      </c>
      <c r="B74" s="74" t="s">
        <v>54</v>
      </c>
      <c r="C74" s="195">
        <v>1</v>
      </c>
      <c r="D74" s="199">
        <v>3</v>
      </c>
      <c r="E74" s="191"/>
      <c r="F74" s="199"/>
      <c r="G74" s="191"/>
      <c r="H74" s="199"/>
      <c r="I74" s="191"/>
      <c r="J74" s="199"/>
      <c r="K74" s="191"/>
      <c r="L74" s="199"/>
      <c r="M74" s="191"/>
      <c r="N74" s="199"/>
      <c r="O74" s="191"/>
      <c r="P74" s="199"/>
      <c r="Q74" s="191"/>
      <c r="R74" s="199"/>
      <c r="S74" s="191"/>
      <c r="T74" s="199"/>
      <c r="U74" s="191"/>
      <c r="V74" s="199"/>
      <c r="W74" s="192">
        <f>C74+E74+G74+I74+K74+M74+O74+Q74+S74+U74</f>
        <v>1</v>
      </c>
      <c r="X74" s="192">
        <f t="shared" si="28"/>
        <v>3</v>
      </c>
      <c r="Y74" s="65">
        <v>10900000</v>
      </c>
      <c r="Z74" s="65">
        <f t="shared" si="24"/>
        <v>32700000</v>
      </c>
      <c r="AA74" s="173">
        <f t="shared" si="29"/>
        <v>9</v>
      </c>
      <c r="AB74" s="173"/>
      <c r="AC74" s="172">
        <f t="shared" si="26"/>
        <v>6.8452695832436348</v>
      </c>
      <c r="AD74" s="172"/>
      <c r="AF74" s="191">
        <v>1</v>
      </c>
      <c r="AG74" s="199">
        <v>1</v>
      </c>
      <c r="AH74" s="191"/>
      <c r="AI74" s="199"/>
      <c r="AJ74" s="259">
        <f t="shared" si="27"/>
        <v>2</v>
      </c>
      <c r="AK74" s="259">
        <f t="shared" si="27"/>
        <v>4</v>
      </c>
    </row>
    <row r="75" spans="1:37" s="54" customFormat="1" ht="15.75" thickBot="1">
      <c r="B75" s="67" t="s">
        <v>42</v>
      </c>
      <c r="C75" s="67"/>
      <c r="D75" s="200"/>
      <c r="E75" s="67"/>
      <c r="F75" s="200"/>
      <c r="G75" s="67"/>
      <c r="H75" s="200"/>
      <c r="I75" s="67"/>
      <c r="J75" s="200"/>
      <c r="K75" s="67"/>
      <c r="L75" s="200"/>
      <c r="M75" s="67"/>
      <c r="N75" s="200"/>
      <c r="O75" s="67"/>
      <c r="P75" s="200"/>
      <c r="Q75" s="67"/>
      <c r="R75" s="200"/>
      <c r="S75" s="67"/>
      <c r="T75" s="200"/>
      <c r="U75" s="67"/>
      <c r="V75" s="200"/>
      <c r="W75" s="67"/>
      <c r="X75" s="67"/>
      <c r="Y75" s="67"/>
      <c r="Z75" s="70">
        <f>SUM(Z69:Z74)</f>
        <v>33850700</v>
      </c>
      <c r="AA75" s="67"/>
      <c r="AB75" s="219">
        <f>SUM(AB69:AB74)</f>
        <v>22.817565277478781</v>
      </c>
      <c r="AC75" s="219">
        <f t="shared" ref="AC75:AD75" si="30">SUM(AC69:AC74)</f>
        <v>6.8452695832436348</v>
      </c>
      <c r="AD75" s="219">
        <f t="shared" si="30"/>
        <v>22.817565277478785</v>
      </c>
      <c r="AF75" s="67"/>
      <c r="AG75" s="200"/>
      <c r="AH75" s="67"/>
      <c r="AI75" s="200"/>
    </row>
    <row r="76" spans="1:37" s="54" customFormat="1" ht="15.75" thickTop="1">
      <c r="AJ76" s="54">
        <f>SUM(AJ69:AJ74)</f>
        <v>19</v>
      </c>
    </row>
    <row r="77" spans="1:37" s="54" customFormat="1"/>
    <row r="78" spans="1:37" s="54" customFormat="1" ht="30">
      <c r="A78" s="75" t="s">
        <v>43</v>
      </c>
      <c r="B78" s="121" t="s">
        <v>396</v>
      </c>
      <c r="C78" s="1">
        <v>10</v>
      </c>
      <c r="D78" s="1" t="s">
        <v>44</v>
      </c>
    </row>
    <row r="79" spans="1:37" s="54" customFormat="1">
      <c r="A79" s="317" t="s">
        <v>45</v>
      </c>
      <c r="B79" s="318"/>
      <c r="C79" s="76">
        <f>Z75/C78</f>
        <v>3385070</v>
      </c>
      <c r="D79" s="1"/>
    </row>
    <row r="80" spans="1:37" s="54" customFormat="1">
      <c r="A80" s="317" t="s">
        <v>164</v>
      </c>
      <c r="B80" s="318"/>
      <c r="C80" s="17">
        <v>20.7</v>
      </c>
      <c r="D80" s="76" t="s">
        <v>165</v>
      </c>
    </row>
    <row r="81" spans="1:11" s="54" customFormat="1" ht="33.950000000000003" customHeight="1">
      <c r="A81" s="317" t="s">
        <v>583</v>
      </c>
      <c r="B81" s="318"/>
      <c r="C81" s="93">
        <v>22</v>
      </c>
      <c r="D81" s="76"/>
    </row>
    <row r="82" spans="1:11" s="54" customFormat="1" ht="33.950000000000003" customHeight="1">
      <c r="A82" s="317" t="s">
        <v>588</v>
      </c>
      <c r="B82" s="318"/>
      <c r="C82" s="93">
        <v>5</v>
      </c>
      <c r="D82" s="76"/>
    </row>
    <row r="83" spans="1:11" s="54" customFormat="1">
      <c r="A83" s="315"/>
      <c r="B83" s="315"/>
      <c r="C83" s="315"/>
      <c r="D83" s="315"/>
    </row>
    <row r="84" spans="1:11" s="54" customFormat="1">
      <c r="A84" s="315" t="s">
        <v>552</v>
      </c>
      <c r="B84" s="315"/>
      <c r="C84" s="315"/>
      <c r="D84" s="315"/>
      <c r="E84" s="315"/>
      <c r="F84" s="315"/>
      <c r="G84" s="315"/>
      <c r="H84" s="315"/>
      <c r="I84" s="315"/>
      <c r="J84" s="315"/>
      <c r="K84" s="315"/>
    </row>
    <row r="85" spans="1:11" s="54" customFormat="1" ht="18.399999999999999" customHeight="1">
      <c r="A85" s="339" t="s">
        <v>566</v>
      </c>
      <c r="B85" s="340"/>
      <c r="C85" s="340"/>
      <c r="D85" s="340"/>
      <c r="E85" s="340"/>
      <c r="F85" s="340"/>
      <c r="G85" s="340"/>
      <c r="H85" s="340"/>
      <c r="I85" s="340"/>
      <c r="J85" s="340"/>
      <c r="K85" s="340"/>
    </row>
    <row r="86" spans="1:11" s="54" customFormat="1" ht="25.9" customHeight="1">
      <c r="A86" s="185"/>
      <c r="B86" s="186"/>
      <c r="C86" s="186"/>
      <c r="D86" s="187" t="s">
        <v>399</v>
      </c>
      <c r="E86" s="187" t="s">
        <v>553</v>
      </c>
      <c r="F86" s="187" t="s">
        <v>558</v>
      </c>
      <c r="G86" s="187" t="s">
        <v>556</v>
      </c>
      <c r="H86" s="187" t="s">
        <v>555</v>
      </c>
      <c r="I86" s="187" t="s">
        <v>561</v>
      </c>
      <c r="J86" s="187" t="s">
        <v>562</v>
      </c>
      <c r="K86" s="187" t="s">
        <v>554</v>
      </c>
    </row>
    <row r="87" spans="1:11" s="54" customFormat="1" ht="57.6" customHeight="1">
      <c r="A87" s="323" t="s">
        <v>563</v>
      </c>
      <c r="B87" s="319" t="s">
        <v>385</v>
      </c>
      <c r="C87" s="319"/>
      <c r="D87" s="178">
        <f>1-E87</f>
        <v>0.41000000000000003</v>
      </c>
      <c r="E87" s="179">
        <v>0.59</v>
      </c>
      <c r="F87" s="176" t="s">
        <v>51</v>
      </c>
      <c r="G87" s="338">
        <v>0.25</v>
      </c>
      <c r="H87" s="177">
        <v>0.5</v>
      </c>
      <c r="I87" s="180">
        <f>D87/H87</f>
        <v>0.82000000000000006</v>
      </c>
      <c r="J87" s="335">
        <f>I87*I88</f>
        <v>0.40175046300282891</v>
      </c>
      <c r="K87" s="181" t="s">
        <v>383</v>
      </c>
    </row>
    <row r="88" spans="1:11" s="54" customFormat="1" ht="35.450000000000003" customHeight="1">
      <c r="A88" s="323"/>
      <c r="B88" s="319" t="s">
        <v>559</v>
      </c>
      <c r="C88" s="319"/>
      <c r="D88" s="178">
        <v>0.95</v>
      </c>
      <c r="E88" s="179">
        <f>1-D88</f>
        <v>5.0000000000000044E-2</v>
      </c>
      <c r="F88" s="176" t="s">
        <v>50</v>
      </c>
      <c r="G88" s="338"/>
      <c r="H88" s="336">
        <v>0.5</v>
      </c>
      <c r="I88" s="335">
        <f>(D88*D89*D90*D91*D92*D93*D94)/H88</f>
        <v>0.48993958902784007</v>
      </c>
      <c r="J88" s="335"/>
      <c r="K88" s="181" t="s">
        <v>382</v>
      </c>
    </row>
    <row r="89" spans="1:11" s="54" customFormat="1" ht="30">
      <c r="A89" s="323"/>
      <c r="B89" s="319" t="s">
        <v>421</v>
      </c>
      <c r="C89" s="319"/>
      <c r="D89" s="178">
        <v>0.86</v>
      </c>
      <c r="E89" s="179">
        <f>1-D89</f>
        <v>0.14000000000000001</v>
      </c>
      <c r="F89" s="176" t="s">
        <v>50</v>
      </c>
      <c r="G89" s="338"/>
      <c r="H89" s="336"/>
      <c r="I89" s="335"/>
      <c r="J89" s="335"/>
      <c r="K89" s="181" t="s">
        <v>419</v>
      </c>
    </row>
    <row r="90" spans="1:11" s="54" customFormat="1">
      <c r="A90" s="323"/>
      <c r="B90" s="319" t="s">
        <v>46</v>
      </c>
      <c r="C90" s="319"/>
      <c r="D90" s="178">
        <v>0.97599999999999998</v>
      </c>
      <c r="E90" s="179">
        <f>1-D90</f>
        <v>2.4000000000000021E-2</v>
      </c>
      <c r="F90" s="176" t="s">
        <v>50</v>
      </c>
      <c r="G90" s="338"/>
      <c r="H90" s="336"/>
      <c r="I90" s="335"/>
      <c r="J90" s="335"/>
      <c r="K90" s="181"/>
    </row>
    <row r="91" spans="1:11" s="54" customFormat="1" ht="30">
      <c r="A91" s="323"/>
      <c r="B91" s="319" t="s">
        <v>422</v>
      </c>
      <c r="C91" s="319"/>
      <c r="D91" s="178">
        <f>1-E91</f>
        <v>0.89</v>
      </c>
      <c r="E91" s="179">
        <v>0.11</v>
      </c>
      <c r="F91" s="176" t="s">
        <v>51</v>
      </c>
      <c r="G91" s="338"/>
      <c r="H91" s="336"/>
      <c r="I91" s="335"/>
      <c r="J91" s="335"/>
      <c r="K91" s="181" t="s">
        <v>384</v>
      </c>
    </row>
    <row r="92" spans="1:11" s="54" customFormat="1" ht="35.1" customHeight="1">
      <c r="A92" s="323"/>
      <c r="B92" s="319" t="s">
        <v>285</v>
      </c>
      <c r="C92" s="319"/>
      <c r="D92" s="178">
        <f>1-E92</f>
        <v>0.92</v>
      </c>
      <c r="E92" s="179">
        <v>0.08</v>
      </c>
      <c r="F92" s="176" t="s">
        <v>51</v>
      </c>
      <c r="G92" s="338"/>
      <c r="H92" s="336"/>
      <c r="I92" s="335"/>
      <c r="J92" s="335"/>
      <c r="K92" s="181" t="s">
        <v>384</v>
      </c>
    </row>
    <row r="93" spans="1:11" s="54" customFormat="1" ht="35.1" customHeight="1">
      <c r="A93" s="323"/>
      <c r="B93" s="319" t="s">
        <v>420</v>
      </c>
      <c r="C93" s="319"/>
      <c r="D93" s="178">
        <f>1-E93</f>
        <v>0.56000000000000005</v>
      </c>
      <c r="E93" s="179">
        <v>0.44</v>
      </c>
      <c r="F93" s="176" t="s">
        <v>51</v>
      </c>
      <c r="G93" s="338"/>
      <c r="H93" s="336"/>
      <c r="I93" s="335"/>
      <c r="J93" s="335"/>
      <c r="K93" s="181" t="s">
        <v>384</v>
      </c>
    </row>
    <row r="94" spans="1:11" s="54" customFormat="1" ht="38.450000000000003" customHeight="1">
      <c r="A94" s="323"/>
      <c r="B94" s="319" t="s">
        <v>557</v>
      </c>
      <c r="C94" s="319"/>
      <c r="D94" s="178">
        <v>0.67</v>
      </c>
      <c r="E94" s="179">
        <f>1-D94</f>
        <v>0.32999999999999996</v>
      </c>
      <c r="F94" s="176" t="s">
        <v>50</v>
      </c>
      <c r="G94" s="338"/>
      <c r="H94" s="336"/>
      <c r="I94" s="335"/>
      <c r="J94" s="335"/>
      <c r="K94" s="181" t="s">
        <v>384</v>
      </c>
    </row>
    <row r="95" spans="1:11" s="54" customFormat="1" ht="27" customHeight="1">
      <c r="A95" s="323" t="s">
        <v>564</v>
      </c>
      <c r="B95" s="319" t="s">
        <v>418</v>
      </c>
      <c r="C95" s="319"/>
      <c r="D95" s="178">
        <f>1-E95</f>
        <v>0.75</v>
      </c>
      <c r="E95" s="179">
        <v>0.25</v>
      </c>
      <c r="F95" s="176" t="s">
        <v>51</v>
      </c>
      <c r="G95" s="338">
        <v>0.75</v>
      </c>
      <c r="H95" s="336">
        <v>1</v>
      </c>
      <c r="I95" s="335">
        <f>D95*D96*D97*D98</f>
        <v>0.18530250000000001</v>
      </c>
      <c r="J95" s="337">
        <f>I95</f>
        <v>0.18530250000000001</v>
      </c>
      <c r="K95" s="181" t="s">
        <v>288</v>
      </c>
    </row>
    <row r="96" spans="1:11" s="54" customFormat="1" ht="30.6" customHeight="1">
      <c r="A96" s="323"/>
      <c r="B96" s="319" t="s">
        <v>411</v>
      </c>
      <c r="C96" s="319"/>
      <c r="D96" s="178">
        <v>0.62</v>
      </c>
      <c r="E96" s="179">
        <f>1-D96</f>
        <v>0.38</v>
      </c>
      <c r="F96" s="176" t="s">
        <v>50</v>
      </c>
      <c r="G96" s="338"/>
      <c r="H96" s="336"/>
      <c r="I96" s="335"/>
      <c r="J96" s="323"/>
      <c r="K96" s="181" t="s">
        <v>288</v>
      </c>
    </row>
    <row r="97" spans="1:11" s="54" customFormat="1" ht="30.6" customHeight="1">
      <c r="A97" s="323"/>
      <c r="B97" s="319" t="s">
        <v>423</v>
      </c>
      <c r="C97" s="319"/>
      <c r="D97" s="178">
        <f>1-E97</f>
        <v>0.5</v>
      </c>
      <c r="E97" s="179">
        <v>0.5</v>
      </c>
      <c r="F97" s="176" t="s">
        <v>51</v>
      </c>
      <c r="G97" s="338"/>
      <c r="H97" s="336"/>
      <c r="I97" s="335"/>
      <c r="J97" s="323"/>
      <c r="K97" s="181" t="s">
        <v>288</v>
      </c>
    </row>
    <row r="98" spans="1:11" s="54" customFormat="1" ht="28.9" customHeight="1">
      <c r="A98" s="323"/>
      <c r="B98" s="319" t="s">
        <v>560</v>
      </c>
      <c r="C98" s="319"/>
      <c r="D98" s="178">
        <v>0.79700000000000004</v>
      </c>
      <c r="E98" s="179">
        <f>1-D98</f>
        <v>0.20299999999999996</v>
      </c>
      <c r="F98" s="176" t="s">
        <v>50</v>
      </c>
      <c r="G98" s="338"/>
      <c r="H98" s="336"/>
      <c r="I98" s="335"/>
      <c r="J98" s="323"/>
      <c r="K98" s="181" t="s">
        <v>288</v>
      </c>
    </row>
    <row r="99" spans="1:11" s="54" customFormat="1" ht="46.5" customHeight="1" thickBot="1">
      <c r="A99" s="324" t="s">
        <v>565</v>
      </c>
      <c r="B99" s="325"/>
      <c r="C99" s="325"/>
      <c r="D99" s="325"/>
      <c r="E99" s="325"/>
      <c r="F99" s="325"/>
      <c r="G99" s="325"/>
      <c r="H99" s="326"/>
      <c r="I99" s="184">
        <f>(J87*G87)+(J95*G95)</f>
        <v>0.23941449075070723</v>
      </c>
      <c r="J99" s="182"/>
      <c r="K99" s="183"/>
    </row>
    <row r="100" spans="1:11" ht="15.75" thickTop="1"/>
    <row r="102" spans="1:11">
      <c r="A102" s="315" t="s">
        <v>397</v>
      </c>
      <c r="B102" s="315"/>
      <c r="C102" s="315"/>
      <c r="D102" s="315"/>
      <c r="E102" s="315"/>
      <c r="F102" s="315"/>
      <c r="G102" s="315"/>
      <c r="H102" s="315"/>
      <c r="I102" s="315"/>
    </row>
    <row r="103" spans="1:11" ht="27" customHeight="1">
      <c r="A103" s="333" t="s">
        <v>566</v>
      </c>
      <c r="B103" s="334"/>
      <c r="C103" s="334"/>
      <c r="D103" s="334"/>
      <c r="E103" s="334"/>
      <c r="F103" s="334"/>
      <c r="G103" s="334"/>
      <c r="H103" s="334"/>
      <c r="I103" s="334"/>
    </row>
    <row r="104" spans="1:11" ht="40.15" customHeight="1">
      <c r="A104" s="138"/>
      <c r="B104" s="139"/>
      <c r="C104" s="140" t="s">
        <v>399</v>
      </c>
      <c r="D104" s="187" t="s">
        <v>553</v>
      </c>
      <c r="E104" s="187" t="s">
        <v>558</v>
      </c>
      <c r="F104" s="140" t="s">
        <v>402</v>
      </c>
      <c r="G104" s="140" t="s">
        <v>401</v>
      </c>
      <c r="H104" s="140" t="s">
        <v>402</v>
      </c>
      <c r="I104" s="140" t="s">
        <v>12</v>
      </c>
    </row>
    <row r="105" spans="1:11" ht="30">
      <c r="A105" s="320" t="s">
        <v>398</v>
      </c>
      <c r="B105" s="321"/>
      <c r="C105" s="178">
        <v>0.52600000000000002</v>
      </c>
      <c r="D105" s="179">
        <f>1-C105</f>
        <v>0.47399999999999998</v>
      </c>
      <c r="E105" s="176" t="s">
        <v>50</v>
      </c>
      <c r="F105" s="330">
        <v>0.2</v>
      </c>
      <c r="G105" s="327">
        <v>0.95</v>
      </c>
      <c r="H105" s="330">
        <f>F105*G105</f>
        <v>0.19</v>
      </c>
      <c r="I105" s="137" t="s">
        <v>407</v>
      </c>
    </row>
    <row r="106" spans="1:11" ht="30">
      <c r="A106" s="320" t="s">
        <v>400</v>
      </c>
      <c r="B106" s="321"/>
      <c r="C106" s="178">
        <v>0.6</v>
      </c>
      <c r="D106" s="179">
        <f>1-C106</f>
        <v>0.4</v>
      </c>
      <c r="E106" s="176" t="s">
        <v>50</v>
      </c>
      <c r="F106" s="331"/>
      <c r="G106" s="328"/>
      <c r="H106" s="331"/>
      <c r="I106" s="137" t="s">
        <v>408</v>
      </c>
    </row>
    <row r="107" spans="1:11" ht="45">
      <c r="A107" s="320" t="s">
        <v>403</v>
      </c>
      <c r="B107" s="321"/>
      <c r="C107" s="178">
        <f>1-D107</f>
        <v>0.26</v>
      </c>
      <c r="D107" s="179">
        <v>0.74</v>
      </c>
      <c r="E107" s="176" t="s">
        <v>51</v>
      </c>
      <c r="F107" s="331"/>
      <c r="G107" s="328"/>
      <c r="H107" s="331"/>
      <c r="I107" s="134" t="s">
        <v>404</v>
      </c>
    </row>
    <row r="108" spans="1:11" ht="28.9" customHeight="1">
      <c r="A108" s="320" t="s">
        <v>405</v>
      </c>
      <c r="B108" s="321"/>
      <c r="C108" s="178">
        <f>1-D108</f>
        <v>0.61</v>
      </c>
      <c r="D108" s="179">
        <v>0.39</v>
      </c>
      <c r="E108" s="176" t="s">
        <v>51</v>
      </c>
      <c r="F108" s="331"/>
      <c r="G108" s="328"/>
      <c r="H108" s="331"/>
      <c r="I108" s="75" t="s">
        <v>406</v>
      </c>
    </row>
    <row r="109" spans="1:11" ht="31.5" customHeight="1">
      <c r="A109" s="320" t="s">
        <v>412</v>
      </c>
      <c r="B109" s="321"/>
      <c r="C109" s="178">
        <f>1-D109</f>
        <v>0.58000000000000007</v>
      </c>
      <c r="D109" s="179">
        <v>0.42</v>
      </c>
      <c r="E109" s="176" t="s">
        <v>51</v>
      </c>
      <c r="F109" s="331"/>
      <c r="G109" s="328"/>
      <c r="H109" s="331"/>
      <c r="I109" s="75" t="s">
        <v>414</v>
      </c>
    </row>
    <row r="110" spans="1:11" ht="31.5" customHeight="1">
      <c r="A110" s="320" t="s">
        <v>413</v>
      </c>
      <c r="B110" s="321"/>
      <c r="C110" s="178">
        <f>1-D110</f>
        <v>0.8</v>
      </c>
      <c r="D110" s="179">
        <v>0.2</v>
      </c>
      <c r="E110" s="176" t="s">
        <v>51</v>
      </c>
      <c r="F110" s="332"/>
      <c r="G110" s="329"/>
      <c r="H110" s="332"/>
      <c r="I110" s="75" t="s">
        <v>415</v>
      </c>
    </row>
    <row r="111" spans="1:11" ht="47.45" customHeight="1">
      <c r="A111" s="320" t="s">
        <v>416</v>
      </c>
      <c r="B111" s="321"/>
      <c r="C111" s="178">
        <f>1-D111</f>
        <v>0.29000000000000004</v>
      </c>
      <c r="D111" s="179">
        <v>0.71</v>
      </c>
      <c r="E111" s="176" t="s">
        <v>51</v>
      </c>
      <c r="F111" s="204">
        <f>C111</f>
        <v>0.29000000000000004</v>
      </c>
      <c r="G111" s="175">
        <v>0.05</v>
      </c>
      <c r="H111" s="174">
        <f>+F111*G111</f>
        <v>1.4500000000000002E-2</v>
      </c>
      <c r="I111" s="75" t="s">
        <v>417</v>
      </c>
    </row>
    <row r="112" spans="1:11" ht="15.75" thickBot="1">
      <c r="A112" s="322" t="s">
        <v>47</v>
      </c>
      <c r="B112" s="322"/>
      <c r="C112" s="79"/>
      <c r="D112" s="79"/>
      <c r="E112" s="79"/>
      <c r="F112" s="79"/>
      <c r="G112" s="203">
        <f>SUM(G105:G111)</f>
        <v>1</v>
      </c>
      <c r="H112" s="205">
        <f>H105+H111</f>
        <v>0.20450000000000002</v>
      </c>
      <c r="I112" s="80"/>
    </row>
    <row r="113" spans="1:7" ht="15.75" thickTop="1"/>
    <row r="114" spans="1:7" ht="27" customHeight="1">
      <c r="A114" s="342" t="s">
        <v>576</v>
      </c>
      <c r="B114" s="343"/>
    </row>
    <row r="115" spans="1:7" ht="27" customHeight="1">
      <c r="A115" s="276" t="s">
        <v>577</v>
      </c>
      <c r="B115" s="276"/>
      <c r="C115" s="206"/>
      <c r="D115" s="206" t="s">
        <v>579</v>
      </c>
    </row>
    <row r="116" spans="1:7" ht="27" customHeight="1">
      <c r="A116" s="276" t="s">
        <v>409</v>
      </c>
      <c r="B116" s="276"/>
      <c r="C116" s="207">
        <v>0.95</v>
      </c>
      <c r="D116" s="206" t="s">
        <v>580</v>
      </c>
    </row>
    <row r="117" spans="1:7" ht="27" customHeight="1">
      <c r="A117" s="276" t="s">
        <v>410</v>
      </c>
      <c r="B117" s="276"/>
      <c r="C117" s="207">
        <v>0.05</v>
      </c>
      <c r="D117" s="206" t="s">
        <v>581</v>
      </c>
    </row>
    <row r="118" spans="1:7" ht="27" customHeight="1">
      <c r="A118" s="276" t="s">
        <v>584</v>
      </c>
      <c r="B118" s="276"/>
      <c r="C118" s="207">
        <v>7.0000000000000007E-2</v>
      </c>
      <c r="D118" s="206" t="s">
        <v>585</v>
      </c>
    </row>
    <row r="119" spans="1:7" ht="27" customHeight="1">
      <c r="A119" s="276" t="s">
        <v>578</v>
      </c>
      <c r="B119" s="276"/>
      <c r="C119" s="208">
        <v>1.7999999999999999E-2</v>
      </c>
      <c r="D119" s="206" t="s">
        <v>586</v>
      </c>
    </row>
    <row r="120" spans="1:7" ht="27" customHeight="1">
      <c r="A120" s="276" t="s">
        <v>582</v>
      </c>
      <c r="B120" s="276"/>
      <c r="C120" s="206">
        <f>C81</f>
        <v>22</v>
      </c>
      <c r="D120" s="206"/>
    </row>
    <row r="121" spans="1:7" ht="27" customHeight="1">
      <c r="A121" s="276" t="s">
        <v>589</v>
      </c>
      <c r="B121" s="276"/>
      <c r="C121" s="206">
        <f>C120*C119</f>
        <v>0.39599999999999996</v>
      </c>
      <c r="D121" s="206"/>
    </row>
    <row r="122" spans="1:7" ht="27" customHeight="1">
      <c r="A122" s="276" t="s">
        <v>587</v>
      </c>
      <c r="B122" s="276"/>
      <c r="C122" s="206">
        <f>C82</f>
        <v>5</v>
      </c>
      <c r="D122" s="206"/>
    </row>
    <row r="123" spans="1:7" ht="46.15" customHeight="1">
      <c r="A123" s="276" t="s">
        <v>594</v>
      </c>
      <c r="B123" s="276"/>
      <c r="C123" s="206">
        <f>C122*C118</f>
        <v>0.35000000000000003</v>
      </c>
      <c r="D123" s="209">
        <f>C123/C78</f>
        <v>3.5000000000000003E-2</v>
      </c>
      <c r="E123" s="206" t="s">
        <v>590</v>
      </c>
    </row>
    <row r="124" spans="1:7" ht="39.950000000000003" customHeight="1">
      <c r="A124" s="276" t="s">
        <v>595</v>
      </c>
      <c r="B124" s="276"/>
      <c r="C124" s="206">
        <f>C121-C123</f>
        <v>4.599999999999993E-2</v>
      </c>
      <c r="D124" s="209">
        <f>C124/C78</f>
        <v>4.599999999999993E-3</v>
      </c>
      <c r="E124" s="206" t="s">
        <v>591</v>
      </c>
    </row>
    <row r="126" spans="1:7">
      <c r="A126" t="s">
        <v>592</v>
      </c>
      <c r="C126">
        <v>30</v>
      </c>
    </row>
    <row r="127" spans="1:7">
      <c r="A127" t="s">
        <v>596</v>
      </c>
      <c r="C127">
        <f>D123*C126</f>
        <v>1.05</v>
      </c>
      <c r="E127" s="128">
        <f>Y74</f>
        <v>10900000</v>
      </c>
      <c r="F127" s="131">
        <f>E127*C127</f>
        <v>11445000</v>
      </c>
      <c r="G127" s="130">
        <f>F127*(1-H112)</f>
        <v>9104497.5</v>
      </c>
    </row>
    <row r="128" spans="1:7">
      <c r="A128" t="s">
        <v>597</v>
      </c>
      <c r="C128">
        <f>D124*C127</f>
        <v>4.8299999999999932E-3</v>
      </c>
      <c r="E128" s="128">
        <f>Y73</f>
        <v>521300</v>
      </c>
      <c r="F128" s="131">
        <f>E128*C128</f>
        <v>2517.8789999999963</v>
      </c>
      <c r="G128" s="130">
        <f>F128*(1-H113)</f>
        <v>2517.8789999999963</v>
      </c>
    </row>
    <row r="129" spans="1:8">
      <c r="F129" s="213" t="s">
        <v>598</v>
      </c>
      <c r="G129" s="212">
        <f>SUM(G127:G128)</f>
        <v>9107015.3790000007</v>
      </c>
      <c r="H129" s="212">
        <f>G129/Discount!B43</f>
        <v>608169.95692194672</v>
      </c>
    </row>
    <row r="131" spans="1:8">
      <c r="A131" s="210" t="s">
        <v>599</v>
      </c>
    </row>
  </sheetData>
  <mergeCells count="62">
    <mergeCell ref="A124:B124"/>
    <mergeCell ref="A119:B119"/>
    <mergeCell ref="A120:B120"/>
    <mergeCell ref="A121:B121"/>
    <mergeCell ref="A122:B122"/>
    <mergeCell ref="A123:B123"/>
    <mergeCell ref="A114:B114"/>
    <mergeCell ref="A115:B115"/>
    <mergeCell ref="A116:B116"/>
    <mergeCell ref="A117:B117"/>
    <mergeCell ref="A118:B118"/>
    <mergeCell ref="A84:K84"/>
    <mergeCell ref="A85:K85"/>
    <mergeCell ref="C67:D67"/>
    <mergeCell ref="E67:F67"/>
    <mergeCell ref="A81:B81"/>
    <mergeCell ref="A82:B82"/>
    <mergeCell ref="A80:B80"/>
    <mergeCell ref="J87:J94"/>
    <mergeCell ref="H95:H98"/>
    <mergeCell ref="I95:I98"/>
    <mergeCell ref="J95:J98"/>
    <mergeCell ref="G87:G94"/>
    <mergeCell ref="G95:G98"/>
    <mergeCell ref="H88:H94"/>
    <mergeCell ref="I88:I94"/>
    <mergeCell ref="G105:G110"/>
    <mergeCell ref="F105:F110"/>
    <mergeCell ref="A103:I103"/>
    <mergeCell ref="A102:I102"/>
    <mergeCell ref="H105:H110"/>
    <mergeCell ref="B94:C94"/>
    <mergeCell ref="A108:B108"/>
    <mergeCell ref="A109:B109"/>
    <mergeCell ref="A110:B110"/>
    <mergeCell ref="A112:B112"/>
    <mergeCell ref="A111:B111"/>
    <mergeCell ref="B98:C98"/>
    <mergeCell ref="B95:C95"/>
    <mergeCell ref="B96:C96"/>
    <mergeCell ref="A87:A94"/>
    <mergeCell ref="A107:B107"/>
    <mergeCell ref="A105:B105"/>
    <mergeCell ref="A106:B106"/>
    <mergeCell ref="B97:C97"/>
    <mergeCell ref="A95:A98"/>
    <mergeCell ref="A99:H99"/>
    <mergeCell ref="B93:C93"/>
    <mergeCell ref="B91:C91"/>
    <mergeCell ref="B87:C87"/>
    <mergeCell ref="B88:C88"/>
    <mergeCell ref="B89:C89"/>
    <mergeCell ref="B92:C92"/>
    <mergeCell ref="B90:C90"/>
    <mergeCell ref="A62:C62"/>
    <mergeCell ref="A66:P66"/>
    <mergeCell ref="A83:D83"/>
    <mergeCell ref="A1:M1"/>
    <mergeCell ref="A2:M2"/>
    <mergeCell ref="A3:M3"/>
    <mergeCell ref="A4:M4"/>
    <mergeCell ref="A79:B79"/>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2E834-6953-4FE0-A877-9A60831E80D8}">
  <dimension ref="A1:G64"/>
  <sheetViews>
    <sheetView zoomScaleNormal="100" workbookViewId="0">
      <selection activeCell="C64" sqref="C64:D64"/>
    </sheetView>
  </sheetViews>
  <sheetFormatPr defaultRowHeight="15"/>
  <cols>
    <col min="1" max="4" width="20.7109375" customWidth="1"/>
    <col min="5" max="6" width="22.140625" customWidth="1"/>
    <col min="7" max="7" width="21.140625" bestFit="1" customWidth="1"/>
    <col min="8" max="8" width="19" bestFit="1" customWidth="1"/>
    <col min="9" max="9" width="15.28515625" bestFit="1" customWidth="1"/>
    <col min="10" max="10" width="21.85546875" bestFit="1" customWidth="1"/>
    <col min="11" max="11" width="18.140625" bestFit="1" customWidth="1"/>
    <col min="12" max="13" width="15.5703125" bestFit="1" customWidth="1"/>
    <col min="14" max="14" width="19.42578125" bestFit="1" customWidth="1"/>
    <col min="15" max="15" width="20.140625" bestFit="1" customWidth="1"/>
    <col min="16" max="16" width="15.7109375" bestFit="1" customWidth="1"/>
  </cols>
  <sheetData>
    <row r="1" spans="1:5" ht="23.25">
      <c r="A1" s="262" t="s">
        <v>10</v>
      </c>
      <c r="B1" s="262"/>
      <c r="C1" s="262"/>
      <c r="D1" s="262"/>
    </row>
    <row r="2" spans="1:5" ht="20.25" thickBot="1">
      <c r="A2" s="263" t="s">
        <v>9</v>
      </c>
      <c r="B2" s="263"/>
      <c r="C2" s="263"/>
      <c r="D2" s="263"/>
    </row>
    <row r="3" spans="1:5" ht="21" thickTop="1" thickBot="1">
      <c r="A3" s="268" t="s">
        <v>1</v>
      </c>
      <c r="B3" s="268"/>
      <c r="C3" s="268"/>
      <c r="D3" s="268"/>
    </row>
    <row r="4" spans="1:5" ht="16.5" thickTop="1" thickBot="1">
      <c r="A4" s="313" t="s">
        <v>289</v>
      </c>
      <c r="B4" s="313"/>
      <c r="C4" s="313"/>
      <c r="D4" s="313"/>
    </row>
    <row r="6" spans="1:5" s="54" customFormat="1" ht="45">
      <c r="A6" s="61" t="s">
        <v>25</v>
      </c>
      <c r="B6" s="61" t="s">
        <v>26</v>
      </c>
      <c r="C6" s="61" t="s">
        <v>27</v>
      </c>
      <c r="D6" s="61" t="s">
        <v>28</v>
      </c>
      <c r="E6"/>
    </row>
    <row r="7" spans="1:5" s="54" customFormat="1">
      <c r="A7" s="54">
        <v>2019</v>
      </c>
      <c r="C7" s="65">
        <v>0</v>
      </c>
      <c r="D7" s="66">
        <f>C7/Discount!B3</f>
        <v>0</v>
      </c>
      <c r="E7"/>
    </row>
    <row r="8" spans="1:5" s="54" customFormat="1">
      <c r="A8" s="54">
        <v>2020</v>
      </c>
      <c r="C8" s="65">
        <v>0</v>
      </c>
      <c r="D8" s="66">
        <f>C8/Discount!B4</f>
        <v>0</v>
      </c>
      <c r="E8"/>
    </row>
    <row r="9" spans="1:5" s="54" customFormat="1">
      <c r="A9" s="54">
        <v>2021</v>
      </c>
      <c r="C9" s="65">
        <v>0</v>
      </c>
      <c r="D9" s="66">
        <f>C9/Discount!B5</f>
        <v>0</v>
      </c>
      <c r="E9"/>
    </row>
    <row r="10" spans="1:5" s="54" customFormat="1">
      <c r="A10" s="54">
        <v>2022</v>
      </c>
      <c r="C10" s="65">
        <v>0</v>
      </c>
      <c r="D10" s="66">
        <f>C10/Discount!B6</f>
        <v>0</v>
      </c>
      <c r="E10"/>
    </row>
    <row r="11" spans="1:5" s="54" customFormat="1">
      <c r="A11" s="54">
        <v>2023</v>
      </c>
      <c r="C11" s="65">
        <v>0</v>
      </c>
      <c r="D11" s="66">
        <f>C11/Discount!B7</f>
        <v>0</v>
      </c>
      <c r="E11"/>
    </row>
    <row r="12" spans="1:5" s="54" customFormat="1">
      <c r="A12" s="54">
        <v>2024</v>
      </c>
      <c r="C12" s="65">
        <v>0</v>
      </c>
      <c r="D12" s="66">
        <f>C12/Discount!B8</f>
        <v>0</v>
      </c>
      <c r="E12"/>
    </row>
    <row r="13" spans="1:5" s="54" customFormat="1">
      <c r="A13" s="54">
        <v>2025</v>
      </c>
      <c r="C13" s="65">
        <v>0</v>
      </c>
      <c r="D13" s="66">
        <f>C13/Discount!B9</f>
        <v>0</v>
      </c>
      <c r="E13"/>
    </row>
    <row r="14" spans="1:5" s="54" customFormat="1">
      <c r="A14" s="54">
        <v>2026</v>
      </c>
      <c r="C14" s="65">
        <v>0</v>
      </c>
      <c r="D14" s="66">
        <f>C14/Discount!B10</f>
        <v>0</v>
      </c>
      <c r="E14"/>
    </row>
    <row r="15" spans="1:5" s="54" customFormat="1">
      <c r="A15" s="54">
        <v>2027</v>
      </c>
      <c r="C15" s="65">
        <v>0</v>
      </c>
      <c r="D15" s="66">
        <f>C15/Discount!B11</f>
        <v>0</v>
      </c>
      <c r="E15"/>
    </row>
    <row r="16" spans="1:5" s="54" customFormat="1">
      <c r="A16" s="54">
        <v>2028</v>
      </c>
      <c r="C16" s="65">
        <v>0</v>
      </c>
      <c r="D16" s="66">
        <f>C16/Discount!B12</f>
        <v>0</v>
      </c>
      <c r="E16"/>
    </row>
    <row r="17" spans="1:5" s="54" customFormat="1">
      <c r="A17" s="54">
        <v>2029</v>
      </c>
      <c r="C17" s="65">
        <v>0</v>
      </c>
      <c r="D17" s="66">
        <f>C17/Discount!B13</f>
        <v>0</v>
      </c>
      <c r="E17"/>
    </row>
    <row r="18" spans="1:5" s="54" customFormat="1">
      <c r="A18" s="54">
        <v>2030</v>
      </c>
      <c r="B18" s="54">
        <v>1</v>
      </c>
      <c r="C18" s="65">
        <f t="shared" ref="C18:C33" si="0">$B$64*$B$51</f>
        <v>487437.9918209032</v>
      </c>
      <c r="D18" s="66">
        <f>C18/Discount!B14</f>
        <v>231578.27859974251</v>
      </c>
      <c r="E18"/>
    </row>
    <row r="19" spans="1:5" s="54" customFormat="1">
      <c r="A19" s="54">
        <v>2031</v>
      </c>
      <c r="B19" s="54">
        <v>2</v>
      </c>
      <c r="C19" s="65">
        <f t="shared" si="0"/>
        <v>487437.9918209032</v>
      </c>
      <c r="D19" s="66">
        <f>C19/Discount!B15</f>
        <v>216428.29775676873</v>
      </c>
      <c r="E19"/>
    </row>
    <row r="20" spans="1:5" s="54" customFormat="1">
      <c r="A20" s="54">
        <v>2032</v>
      </c>
      <c r="B20" s="54">
        <v>3</v>
      </c>
      <c r="C20" s="65">
        <f t="shared" si="0"/>
        <v>487437.9918209032</v>
      </c>
      <c r="D20" s="66">
        <f>C20/Discount!B16</f>
        <v>202269.43715585861</v>
      </c>
      <c r="E20"/>
    </row>
    <row r="21" spans="1:5" s="54" customFormat="1">
      <c r="A21" s="54">
        <v>2033</v>
      </c>
      <c r="B21" s="54">
        <v>4</v>
      </c>
      <c r="C21" s="65">
        <f t="shared" si="0"/>
        <v>487437.9918209032</v>
      </c>
      <c r="D21" s="66">
        <f>C21/Discount!B17</f>
        <v>189036.85715500807</v>
      </c>
      <c r="E21"/>
    </row>
    <row r="22" spans="1:5" s="54" customFormat="1">
      <c r="A22" s="54">
        <v>2034</v>
      </c>
      <c r="B22" s="54">
        <v>5</v>
      </c>
      <c r="C22" s="65">
        <f t="shared" si="0"/>
        <v>487437.9918209032</v>
      </c>
      <c r="D22" s="66">
        <f>C22/Discount!B18</f>
        <v>176669.95995795145</v>
      </c>
      <c r="E22"/>
    </row>
    <row r="23" spans="1:5" s="54" customFormat="1">
      <c r="A23" s="54">
        <v>2035</v>
      </c>
      <c r="B23" s="54">
        <v>6</v>
      </c>
      <c r="C23" s="65">
        <f t="shared" si="0"/>
        <v>487437.9918209032</v>
      </c>
      <c r="D23" s="66">
        <f>C23/Discount!B19</f>
        <v>165112.112110235</v>
      </c>
      <c r="E23"/>
    </row>
    <row r="24" spans="1:5" s="54" customFormat="1">
      <c r="A24" s="54">
        <v>2036</v>
      </c>
      <c r="B24" s="54">
        <v>7</v>
      </c>
      <c r="C24" s="65">
        <f t="shared" si="0"/>
        <v>487437.9918209032</v>
      </c>
      <c r="D24" s="66">
        <f>C24/Discount!B20</f>
        <v>154310.38514975234</v>
      </c>
      <c r="E24"/>
    </row>
    <row r="25" spans="1:5" s="54" customFormat="1">
      <c r="A25" s="54">
        <v>2037</v>
      </c>
      <c r="B25" s="54">
        <v>8</v>
      </c>
      <c r="C25" s="65">
        <f t="shared" si="0"/>
        <v>487437.9918209032</v>
      </c>
      <c r="D25" s="66">
        <f>C25/Discount!B21</f>
        <v>144215.31322406762</v>
      </c>
      <c r="E25"/>
    </row>
    <row r="26" spans="1:5" s="54" customFormat="1">
      <c r="A26" s="54">
        <v>2038</v>
      </c>
      <c r="B26" s="54">
        <v>9</v>
      </c>
      <c r="C26" s="65">
        <f t="shared" si="0"/>
        <v>487437.9918209032</v>
      </c>
      <c r="D26" s="66">
        <f>C26/Discount!B22</f>
        <v>134780.66656454914</v>
      </c>
      <c r="E26"/>
    </row>
    <row r="27" spans="1:5" s="54" customFormat="1">
      <c r="A27" s="54">
        <v>2039</v>
      </c>
      <c r="B27" s="54">
        <v>10</v>
      </c>
      <c r="C27" s="65">
        <f t="shared" si="0"/>
        <v>487437.9918209032</v>
      </c>
      <c r="D27" s="66">
        <f>C27/Discount!B23</f>
        <v>125963.23977995249</v>
      </c>
      <c r="E27"/>
    </row>
    <row r="28" spans="1:5" s="54" customFormat="1">
      <c r="A28" s="54">
        <v>2040</v>
      </c>
      <c r="B28" s="54">
        <v>11</v>
      </c>
      <c r="C28" s="65">
        <f t="shared" si="0"/>
        <v>487437.9918209032</v>
      </c>
      <c r="D28" s="66">
        <f>C28/Discount!B24</f>
        <v>117722.6539999556</v>
      </c>
      <c r="E28"/>
    </row>
    <row r="29" spans="1:5" s="54" customFormat="1">
      <c r="A29" s="54">
        <v>2041</v>
      </c>
      <c r="B29" s="54">
        <v>12</v>
      </c>
      <c r="C29" s="65">
        <f t="shared" si="0"/>
        <v>487437.9918209032</v>
      </c>
      <c r="D29" s="66">
        <f>C29/Discount!B25</f>
        <v>110021.17196257532</v>
      </c>
      <c r="E29"/>
    </row>
    <row r="30" spans="1:5" s="54" customFormat="1">
      <c r="A30" s="54">
        <v>2042</v>
      </c>
      <c r="B30" s="54">
        <v>13</v>
      </c>
      <c r="C30" s="65">
        <f t="shared" si="0"/>
        <v>487437.9918209032</v>
      </c>
      <c r="D30" s="66">
        <f>C30/Discount!B26</f>
        <v>102823.52519866852</v>
      </c>
      <c r="E30"/>
    </row>
    <row r="31" spans="1:5" s="54" customFormat="1">
      <c r="A31" s="54">
        <v>2043</v>
      </c>
      <c r="B31" s="54">
        <v>14</v>
      </c>
      <c r="C31" s="65">
        <f t="shared" si="0"/>
        <v>487437.9918209032</v>
      </c>
      <c r="D31" s="66">
        <f>C31/Discount!B27</f>
        <v>96096.752522120107</v>
      </c>
      <c r="E31"/>
    </row>
    <row r="32" spans="1:5" s="54" customFormat="1">
      <c r="A32" s="54">
        <v>2044</v>
      </c>
      <c r="B32" s="54">
        <v>15</v>
      </c>
      <c r="C32" s="65">
        <f t="shared" si="0"/>
        <v>487437.9918209032</v>
      </c>
      <c r="D32" s="66">
        <f>C32/Discount!B28</f>
        <v>89810.049086093553</v>
      </c>
      <c r="E32"/>
    </row>
    <row r="33" spans="1:5" s="54" customFormat="1">
      <c r="A33" s="54">
        <v>2045</v>
      </c>
      <c r="B33" s="54">
        <v>16</v>
      </c>
      <c r="C33" s="65">
        <f t="shared" si="0"/>
        <v>487437.9918209032</v>
      </c>
      <c r="D33" s="66">
        <f>C33/Discount!B29</f>
        <v>83934.625314106132</v>
      </c>
      <c r="E33"/>
    </row>
    <row r="34" spans="1:5" s="54" customFormat="1">
      <c r="A34" s="54">
        <v>2046</v>
      </c>
      <c r="B34" s="54">
        <v>17</v>
      </c>
      <c r="C34" s="65">
        <f t="shared" ref="C34:C47" si="1">$B$64*$B$51</f>
        <v>487437.9918209032</v>
      </c>
      <c r="D34" s="66">
        <f>C34/Discount!B30</f>
        <v>78443.575059912255</v>
      </c>
      <c r="E34"/>
    </row>
    <row r="35" spans="1:5" s="54" customFormat="1">
      <c r="A35" s="54">
        <v>2047</v>
      </c>
      <c r="B35" s="54">
        <v>18</v>
      </c>
      <c r="C35" s="65">
        <f t="shared" si="1"/>
        <v>487437.9918209032</v>
      </c>
      <c r="D35" s="66">
        <f>C35/Discount!B31</f>
        <v>73311.752392441384</v>
      </c>
      <c r="E35"/>
    </row>
    <row r="36" spans="1:5" s="54" customFormat="1">
      <c r="A36" s="54">
        <v>2048</v>
      </c>
      <c r="B36" s="54">
        <v>19</v>
      </c>
      <c r="C36" s="65">
        <f t="shared" si="1"/>
        <v>487437.9918209032</v>
      </c>
      <c r="D36" s="66">
        <f>C36/Discount!B32</f>
        <v>68515.656441533996</v>
      </c>
      <c r="E36"/>
    </row>
    <row r="37" spans="1:5" s="54" customFormat="1">
      <c r="A37" s="54">
        <v>2049</v>
      </c>
      <c r="B37" s="54">
        <v>20</v>
      </c>
      <c r="C37" s="65">
        <f t="shared" si="1"/>
        <v>487437.9918209032</v>
      </c>
      <c r="D37" s="66">
        <f>C37/Discount!B33</f>
        <v>64033.323777134581</v>
      </c>
      <c r="E37"/>
    </row>
    <row r="38" spans="1:5" s="54" customFormat="1">
      <c r="A38" s="54">
        <v>2050</v>
      </c>
      <c r="B38" s="54">
        <v>21</v>
      </c>
      <c r="C38" s="65">
        <f t="shared" si="1"/>
        <v>487437.9918209032</v>
      </c>
      <c r="D38" s="66">
        <f>C38/Discount!B34</f>
        <v>59844.227829097726</v>
      </c>
      <c r="E38"/>
    </row>
    <row r="39" spans="1:5" s="54" customFormat="1">
      <c r="A39" s="54">
        <v>2051</v>
      </c>
      <c r="B39" s="54">
        <v>22</v>
      </c>
      <c r="C39" s="65">
        <f t="shared" si="1"/>
        <v>487437.9918209032</v>
      </c>
      <c r="D39" s="66">
        <f>C39/Discount!B35</f>
        <v>55929.184887007228</v>
      </c>
      <c r="E39"/>
    </row>
    <row r="40" spans="1:5" s="54" customFormat="1">
      <c r="A40" s="54">
        <v>2052</v>
      </c>
      <c r="B40" s="54">
        <v>23</v>
      </c>
      <c r="C40" s="65">
        <f t="shared" si="1"/>
        <v>487437.9918209032</v>
      </c>
      <c r="D40" s="66">
        <f>C40/Discount!B36</f>
        <v>52270.266249539462</v>
      </c>
      <c r="E40"/>
    </row>
    <row r="41" spans="1:5" s="54" customFormat="1">
      <c r="A41" s="54">
        <v>2053</v>
      </c>
      <c r="B41" s="54">
        <v>24</v>
      </c>
      <c r="C41" s="65">
        <f t="shared" si="1"/>
        <v>487437.9918209032</v>
      </c>
      <c r="D41" s="66">
        <f>C41/Discount!B37</f>
        <v>48850.716121064921</v>
      </c>
      <c r="E41"/>
    </row>
    <row r="42" spans="1:5" s="54" customFormat="1">
      <c r="A42" s="54">
        <v>2054</v>
      </c>
      <c r="B42" s="54">
        <v>25</v>
      </c>
      <c r="C42" s="65">
        <f t="shared" si="1"/>
        <v>487437.9918209032</v>
      </c>
      <c r="D42" s="66">
        <f>C42/Discount!B38</f>
        <v>45654.874879499926</v>
      </c>
      <c r="E42"/>
    </row>
    <row r="43" spans="1:5" s="54" customFormat="1">
      <c r="A43" s="54">
        <v>2055</v>
      </c>
      <c r="B43" s="54">
        <v>26</v>
      </c>
      <c r="C43" s="65">
        <f t="shared" si="1"/>
        <v>487437.9918209032</v>
      </c>
      <c r="D43" s="66">
        <f>C43/Discount!B39</f>
        <v>42668.107364018622</v>
      </c>
      <c r="E43"/>
    </row>
    <row r="44" spans="1:5" s="54" customFormat="1">
      <c r="A44" s="54">
        <v>2056</v>
      </c>
      <c r="B44" s="54">
        <v>27</v>
      </c>
      <c r="C44" s="65">
        <f t="shared" si="1"/>
        <v>487437.9918209032</v>
      </c>
      <c r="D44" s="66">
        <f>C44/Discount!B40</f>
        <v>39876.735854223007</v>
      </c>
      <c r="E44"/>
    </row>
    <row r="45" spans="1:5" s="54" customFormat="1">
      <c r="A45" s="54">
        <v>2057</v>
      </c>
      <c r="B45" s="54">
        <v>28</v>
      </c>
      <c r="C45" s="65">
        <f t="shared" si="1"/>
        <v>487437.9918209032</v>
      </c>
      <c r="D45" s="66">
        <f>C45/Discount!B41</f>
        <v>37267.977433853281</v>
      </c>
      <c r="E45"/>
    </row>
    <row r="46" spans="1:5" s="54" customFormat="1">
      <c r="A46" s="54">
        <v>2058</v>
      </c>
      <c r="B46" s="54">
        <v>29</v>
      </c>
      <c r="C46" s="65">
        <f t="shared" si="1"/>
        <v>487437.9918209032</v>
      </c>
      <c r="D46" s="66">
        <f>C46/Discount!B42</f>
        <v>34829.885452199327</v>
      </c>
      <c r="E46"/>
    </row>
    <row r="47" spans="1:5" s="54" customFormat="1">
      <c r="A47" s="54">
        <v>2059</v>
      </c>
      <c r="B47" s="54">
        <v>30</v>
      </c>
      <c r="C47" s="65">
        <f t="shared" si="1"/>
        <v>487437.9918209032</v>
      </c>
      <c r="D47" s="66">
        <f>C47/Discount!B43</f>
        <v>32551.294815139558</v>
      </c>
      <c r="E47"/>
    </row>
    <row r="48" spans="1:5" s="54" customFormat="1" ht="30" customHeight="1" thickBot="1">
      <c r="A48" s="306" t="s">
        <v>387</v>
      </c>
      <c r="B48" s="306"/>
      <c r="C48" s="70">
        <f>SUM(C15:C47)</f>
        <v>14623139.754627101</v>
      </c>
      <c r="D48" s="70">
        <f>SUM(D15:D47)</f>
        <v>3074820.9040940697</v>
      </c>
      <c r="E48"/>
    </row>
    <row r="49" spans="1:7" s="54" customFormat="1" ht="15.75" customHeight="1" thickTop="1">
      <c r="E49"/>
    </row>
    <row r="50" spans="1:7" s="54" customFormat="1" ht="31.5" customHeight="1">
      <c r="A50" s="344" t="s">
        <v>290</v>
      </c>
      <c r="B50" s="344"/>
      <c r="C50" s="344"/>
      <c r="D50" s="344"/>
      <c r="E50"/>
      <c r="F50"/>
      <c r="G50"/>
    </row>
    <row r="51" spans="1:7" s="54" customFormat="1">
      <c r="A51" s="75" t="s">
        <v>29</v>
      </c>
      <c r="B51" s="81">
        <v>365</v>
      </c>
      <c r="C51" s="348"/>
      <c r="D51" s="349"/>
      <c r="E51"/>
    </row>
    <row r="52" spans="1:7" s="54" customFormat="1" ht="30">
      <c r="A52" s="75" t="s">
        <v>304</v>
      </c>
      <c r="B52" s="82">
        <f>8+(0.65+(1.7*83))</f>
        <v>149.75</v>
      </c>
      <c r="C52" s="350" t="s">
        <v>307</v>
      </c>
      <c r="D52" s="350"/>
      <c r="E52"/>
    </row>
    <row r="53" spans="1:7" s="54" customFormat="1" ht="30">
      <c r="A53" s="75" t="s">
        <v>305</v>
      </c>
      <c r="B53" s="82">
        <f>8+(0.65+(1.7*90.6))</f>
        <v>162.66999999999999</v>
      </c>
      <c r="C53" s="350" t="s">
        <v>306</v>
      </c>
      <c r="D53" s="350"/>
      <c r="E53"/>
    </row>
    <row r="54" spans="1:7" s="54" customFormat="1" ht="45">
      <c r="A54" s="75" t="s">
        <v>292</v>
      </c>
      <c r="B54" s="82">
        <f>B53-B52</f>
        <v>12.919999999999987</v>
      </c>
      <c r="C54" s="346" t="s">
        <v>291</v>
      </c>
      <c r="D54" s="347"/>
      <c r="E54"/>
    </row>
    <row r="55" spans="1:7" s="54" customFormat="1" ht="30">
      <c r="A55" s="75" t="s">
        <v>293</v>
      </c>
      <c r="B55" s="83">
        <v>8</v>
      </c>
      <c r="C55" s="346" t="s">
        <v>291</v>
      </c>
      <c r="D55" s="347"/>
      <c r="E55"/>
    </row>
    <row r="56" spans="1:7" s="54" customFormat="1">
      <c r="A56" s="75" t="s">
        <v>294</v>
      </c>
      <c r="B56" s="23">
        <v>725</v>
      </c>
      <c r="C56" s="350" t="s">
        <v>381</v>
      </c>
      <c r="D56" s="345"/>
      <c r="E56"/>
    </row>
    <row r="57" spans="1:7" s="54" customFormat="1" ht="45">
      <c r="A57" s="84" t="s">
        <v>295</v>
      </c>
      <c r="B57" s="85">
        <f>(B56*58.5)/100000</f>
        <v>0.42412499999999997</v>
      </c>
      <c r="C57" s="351"/>
      <c r="D57" s="351"/>
      <c r="E57"/>
    </row>
    <row r="58" spans="1:7" s="54" customFormat="1" ht="15" customHeight="1">
      <c r="A58" s="75" t="s">
        <v>296</v>
      </c>
      <c r="B58" s="86">
        <f>(1+(EXP(1)^(-0.26+0.106*(B55+1)+0.139*(B55+2))))^-1</f>
        <v>0.11066169048677241</v>
      </c>
      <c r="C58" s="345"/>
      <c r="D58" s="345"/>
      <c r="E58"/>
    </row>
    <row r="59" spans="1:7" s="54" customFormat="1" ht="45">
      <c r="A59" s="75" t="s">
        <v>297</v>
      </c>
      <c r="B59" s="86">
        <f>(1+(EXP(1)^(-0.26+0.106*((B55+B54)+1)+0.139*((B55+B54)+2))))^-1</f>
        <v>5.2232423442873229E-3</v>
      </c>
      <c r="C59" s="345"/>
      <c r="D59" s="345"/>
      <c r="E59"/>
    </row>
    <row r="60" spans="1:7" s="54" customFormat="1" ht="60">
      <c r="A60" s="75" t="s">
        <v>298</v>
      </c>
      <c r="B60" s="88">
        <f>B57*(1-B58)</f>
        <v>0.37719061052229763</v>
      </c>
      <c r="C60" s="345"/>
      <c r="D60" s="345"/>
      <c r="E60"/>
    </row>
    <row r="61" spans="1:7" s="54" customFormat="1" ht="60">
      <c r="A61" s="75" t="s">
        <v>299</v>
      </c>
      <c r="B61" s="88">
        <f>B57*(1-B59)</f>
        <v>0.42190969234072911</v>
      </c>
      <c r="C61" s="345"/>
      <c r="D61" s="345"/>
      <c r="E61"/>
    </row>
    <row r="62" spans="1:7" s="54" customFormat="1" ht="75">
      <c r="A62" s="75" t="s">
        <v>300</v>
      </c>
      <c r="B62" s="83">
        <f>B61-B60</f>
        <v>4.4719081818431483E-2</v>
      </c>
      <c r="C62" s="352"/>
      <c r="D62" s="345"/>
      <c r="E62"/>
    </row>
    <row r="63" spans="1:7" s="54" customFormat="1" ht="30">
      <c r="A63" s="75" t="s">
        <v>301</v>
      </c>
      <c r="B63" s="89">
        <v>10900000</v>
      </c>
      <c r="C63" s="345" t="s">
        <v>717</v>
      </c>
      <c r="D63" s="345"/>
      <c r="E63"/>
    </row>
    <row r="64" spans="1:7" s="54" customFormat="1" ht="45">
      <c r="A64" s="75" t="s">
        <v>302</v>
      </c>
      <c r="B64" s="76">
        <f>((B62)/365)*B63</f>
        <v>1335.4465529339814</v>
      </c>
      <c r="C64" s="345" t="s">
        <v>303</v>
      </c>
      <c r="D64" s="345"/>
      <c r="E64"/>
    </row>
  </sheetData>
  <mergeCells count="20">
    <mergeCell ref="C63:D63"/>
    <mergeCell ref="C64:D64"/>
    <mergeCell ref="C54:D54"/>
    <mergeCell ref="C55:D55"/>
    <mergeCell ref="C51:D51"/>
    <mergeCell ref="C52:D52"/>
    <mergeCell ref="C53:D53"/>
    <mergeCell ref="C56:D56"/>
    <mergeCell ref="C57:D57"/>
    <mergeCell ref="C58:D58"/>
    <mergeCell ref="C62:D62"/>
    <mergeCell ref="C59:D59"/>
    <mergeCell ref="C60:D60"/>
    <mergeCell ref="C61:D61"/>
    <mergeCell ref="A48:B48"/>
    <mergeCell ref="A50:D50"/>
    <mergeCell ref="A1:D1"/>
    <mergeCell ref="A2:D2"/>
    <mergeCell ref="A3:D3"/>
    <mergeCell ref="A4:D4"/>
  </mergeCell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3FE2B-A0F9-4EC4-970B-4E8B5AE69A9B}">
  <dimension ref="A1:S265"/>
  <sheetViews>
    <sheetView topLeftCell="A58" zoomScaleNormal="100" workbookViewId="0">
      <selection activeCell="A48" sqref="A48:B48"/>
    </sheetView>
  </sheetViews>
  <sheetFormatPr defaultRowHeight="15"/>
  <cols>
    <col min="1" max="2" width="8.7109375" customWidth="1"/>
    <col min="3" max="3" width="13.28515625" customWidth="1"/>
    <col min="4" max="4" width="13.42578125" customWidth="1"/>
    <col min="5" max="5" width="14.42578125" customWidth="1"/>
    <col min="6" max="6" width="14.28515625" customWidth="1"/>
    <col min="7" max="7" width="13.42578125" customWidth="1"/>
    <col min="8" max="8" width="18.85546875" customWidth="1"/>
    <col min="9" max="9" width="11.140625" customWidth="1"/>
    <col min="10" max="10" width="8.140625" customWidth="1"/>
    <col min="11" max="11" width="13" customWidth="1"/>
    <col min="12" max="12" width="15.42578125" customWidth="1"/>
    <col min="13" max="13" width="14.5703125" customWidth="1"/>
    <col min="14" max="15" width="14" customWidth="1"/>
    <col min="16" max="16" width="11.85546875" customWidth="1"/>
    <col min="17" max="17" width="13.140625" customWidth="1"/>
  </cols>
  <sheetData>
    <row r="1" spans="1:8" ht="23.25">
      <c r="A1" s="262" t="s">
        <v>10</v>
      </c>
      <c r="B1" s="262"/>
      <c r="C1" s="262"/>
      <c r="D1" s="262"/>
      <c r="E1" s="262"/>
      <c r="F1" s="262"/>
      <c r="G1" s="262"/>
      <c r="H1" s="262"/>
    </row>
    <row r="2" spans="1:8" ht="20.25" thickBot="1">
      <c r="A2" s="263" t="s">
        <v>9</v>
      </c>
      <c r="B2" s="263"/>
      <c r="C2" s="263"/>
      <c r="D2" s="263"/>
      <c r="E2" s="263"/>
      <c r="F2" s="263"/>
      <c r="G2" s="263"/>
      <c r="H2" s="263"/>
    </row>
    <row r="3" spans="1:8" ht="21" thickTop="1" thickBot="1">
      <c r="A3" s="263" t="s">
        <v>1</v>
      </c>
      <c r="B3" s="263"/>
      <c r="C3" s="263"/>
      <c r="D3" s="263"/>
      <c r="E3" s="263"/>
      <c r="F3" s="263"/>
      <c r="G3" s="263"/>
      <c r="H3" s="263"/>
    </row>
    <row r="4" spans="1:8" ht="16.5" thickTop="1" thickBot="1">
      <c r="A4" s="285" t="s">
        <v>310</v>
      </c>
      <c r="B4" s="285"/>
      <c r="C4" s="285"/>
      <c r="D4" s="285"/>
      <c r="E4" s="285"/>
      <c r="F4" s="285"/>
      <c r="G4" s="285"/>
      <c r="H4" s="285"/>
    </row>
    <row r="6" spans="1:8" s="54" customFormat="1" ht="60">
      <c r="A6" s="61" t="s">
        <v>25</v>
      </c>
      <c r="B6" s="61" t="s">
        <v>26</v>
      </c>
      <c r="C6" s="61" t="s">
        <v>311</v>
      </c>
      <c r="D6" s="61" t="s">
        <v>312</v>
      </c>
      <c r="E6" s="61" t="s">
        <v>313</v>
      </c>
      <c r="F6" s="61" t="s">
        <v>365</v>
      </c>
      <c r="G6" s="61" t="s">
        <v>314</v>
      </c>
      <c r="H6" s="61" t="s">
        <v>315</v>
      </c>
    </row>
    <row r="7" spans="1:8" s="54" customFormat="1">
      <c r="A7" s="54">
        <v>2019</v>
      </c>
      <c r="C7" s="243">
        <f>F86+P86</f>
        <v>0</v>
      </c>
      <c r="D7" s="65">
        <f t="shared" ref="D7:D47" si="0">F131+P131</f>
        <v>0</v>
      </c>
      <c r="E7" s="65">
        <f t="shared" ref="E7:E47" si="1">G131+Q131</f>
        <v>0</v>
      </c>
      <c r="F7" s="65">
        <f t="shared" ref="F7:F47" si="2">H221</f>
        <v>0</v>
      </c>
      <c r="G7" s="65">
        <f>SUM(C7:F7)</f>
        <v>0</v>
      </c>
      <c r="H7" s="66">
        <f>G7/Discount!B3</f>
        <v>0</v>
      </c>
    </row>
    <row r="8" spans="1:8" s="54" customFormat="1">
      <c r="A8" s="54">
        <v>2020</v>
      </c>
      <c r="C8" s="243">
        <f t="shared" ref="C8:C47" si="3">F87+P87</f>
        <v>0</v>
      </c>
      <c r="D8" s="65">
        <f t="shared" si="0"/>
        <v>0</v>
      </c>
      <c r="E8" s="65">
        <f t="shared" si="1"/>
        <v>0</v>
      </c>
      <c r="F8" s="65">
        <f t="shared" si="2"/>
        <v>0</v>
      </c>
      <c r="G8" s="65">
        <f t="shared" ref="G8:G47" si="4">SUM(C8:F8)</f>
        <v>0</v>
      </c>
      <c r="H8" s="66">
        <f>G8/Discount!B4</f>
        <v>0</v>
      </c>
    </row>
    <row r="9" spans="1:8" s="54" customFormat="1">
      <c r="A9" s="54">
        <v>2021</v>
      </c>
      <c r="C9" s="243">
        <f t="shared" si="3"/>
        <v>0</v>
      </c>
      <c r="D9" s="65">
        <f t="shared" si="0"/>
        <v>0</v>
      </c>
      <c r="E9" s="65">
        <f t="shared" si="1"/>
        <v>0</v>
      </c>
      <c r="F9" s="65">
        <f t="shared" si="2"/>
        <v>0</v>
      </c>
      <c r="G9" s="65">
        <f t="shared" si="4"/>
        <v>0</v>
      </c>
      <c r="H9" s="66">
        <f>G9/Discount!B5</f>
        <v>0</v>
      </c>
    </row>
    <row r="10" spans="1:8" s="54" customFormat="1">
      <c r="A10" s="54">
        <v>2022</v>
      </c>
      <c r="C10" s="243">
        <f t="shared" si="3"/>
        <v>0</v>
      </c>
      <c r="D10" s="65">
        <f t="shared" si="0"/>
        <v>0</v>
      </c>
      <c r="E10" s="65">
        <f t="shared" si="1"/>
        <v>0</v>
      </c>
      <c r="F10" s="65">
        <f t="shared" si="2"/>
        <v>0</v>
      </c>
      <c r="G10" s="65">
        <f t="shared" si="4"/>
        <v>0</v>
      </c>
      <c r="H10" s="66">
        <f>G10/Discount!B6</f>
        <v>0</v>
      </c>
    </row>
    <row r="11" spans="1:8" s="54" customFormat="1">
      <c r="A11" s="54">
        <v>2023</v>
      </c>
      <c r="C11" s="243">
        <f t="shared" si="3"/>
        <v>0</v>
      </c>
      <c r="D11" s="65">
        <f t="shared" si="0"/>
        <v>0</v>
      </c>
      <c r="E11" s="65">
        <f t="shared" si="1"/>
        <v>0</v>
      </c>
      <c r="F11" s="65">
        <f t="shared" si="2"/>
        <v>0</v>
      </c>
      <c r="G11" s="65">
        <f t="shared" si="4"/>
        <v>0</v>
      </c>
      <c r="H11" s="66">
        <f>G11/Discount!B7</f>
        <v>0</v>
      </c>
    </row>
    <row r="12" spans="1:8" s="54" customFormat="1">
      <c r="A12" s="54">
        <v>2024</v>
      </c>
      <c r="C12" s="243">
        <f t="shared" si="3"/>
        <v>0</v>
      </c>
      <c r="D12" s="65">
        <f t="shared" si="0"/>
        <v>0</v>
      </c>
      <c r="E12" s="65">
        <f t="shared" si="1"/>
        <v>0</v>
      </c>
      <c r="F12" s="65">
        <f t="shared" si="2"/>
        <v>0</v>
      </c>
      <c r="G12" s="65">
        <f t="shared" si="4"/>
        <v>0</v>
      </c>
      <c r="H12" s="66">
        <f>G12/Discount!B8</f>
        <v>0</v>
      </c>
    </row>
    <row r="13" spans="1:8" s="54" customFormat="1">
      <c r="A13" s="54">
        <v>2025</v>
      </c>
      <c r="C13" s="243">
        <f t="shared" si="3"/>
        <v>0</v>
      </c>
      <c r="D13" s="65">
        <f t="shared" si="0"/>
        <v>0</v>
      </c>
      <c r="E13" s="65">
        <f t="shared" si="1"/>
        <v>0</v>
      </c>
      <c r="F13" s="65">
        <f t="shared" si="2"/>
        <v>0</v>
      </c>
      <c r="G13" s="65">
        <f t="shared" si="4"/>
        <v>0</v>
      </c>
      <c r="H13" s="66">
        <f>G13/Discount!B9</f>
        <v>0</v>
      </c>
    </row>
    <row r="14" spans="1:8" s="54" customFormat="1">
      <c r="A14" s="54">
        <v>2026</v>
      </c>
      <c r="C14" s="243">
        <f t="shared" si="3"/>
        <v>0</v>
      </c>
      <c r="D14" s="65">
        <f t="shared" si="0"/>
        <v>0</v>
      </c>
      <c r="E14" s="65">
        <f t="shared" si="1"/>
        <v>0</v>
      </c>
      <c r="F14" s="65">
        <f t="shared" si="2"/>
        <v>0</v>
      </c>
      <c r="G14" s="65">
        <f t="shared" si="4"/>
        <v>0</v>
      </c>
      <c r="H14" s="66">
        <f>G14/Discount!B10</f>
        <v>0</v>
      </c>
    </row>
    <row r="15" spans="1:8" s="54" customFormat="1">
      <c r="A15" s="54">
        <v>2027</v>
      </c>
      <c r="C15" s="243">
        <f t="shared" si="3"/>
        <v>0.15989567731599999</v>
      </c>
      <c r="D15" s="65">
        <f t="shared" si="0"/>
        <v>1483.7170669200002</v>
      </c>
      <c r="E15" s="65">
        <f t="shared" si="1"/>
        <v>863.53684154597454</v>
      </c>
      <c r="F15" s="65">
        <f t="shared" si="2"/>
        <v>1583.9150148799999</v>
      </c>
      <c r="G15" s="65">
        <f t="shared" si="4"/>
        <v>3931.3288190232906</v>
      </c>
      <c r="H15" s="66">
        <f>G15/Discount!B11</f>
        <v>2288.0691657104753</v>
      </c>
    </row>
    <row r="16" spans="1:8" s="54" customFormat="1">
      <c r="A16" s="54">
        <v>2028</v>
      </c>
      <c r="C16" s="243">
        <f t="shared" si="3"/>
        <v>0.15989567731599999</v>
      </c>
      <c r="D16" s="65">
        <f t="shared" si="0"/>
        <v>1483.7170669200002</v>
      </c>
      <c r="E16" s="65">
        <f t="shared" si="1"/>
        <v>807.04377714577049</v>
      </c>
      <c r="F16" s="65">
        <f t="shared" si="2"/>
        <v>1583.9150148799999</v>
      </c>
      <c r="G16" s="65">
        <f t="shared" si="4"/>
        <v>3874.8357546230864</v>
      </c>
      <c r="H16" s="66">
        <f>G16/Discount!B12</f>
        <v>2107.6539139110068</v>
      </c>
    </row>
    <row r="17" spans="1:8" s="54" customFormat="1">
      <c r="A17" s="54">
        <v>2029</v>
      </c>
      <c r="C17" s="243">
        <f t="shared" si="3"/>
        <v>0.15989567731599999</v>
      </c>
      <c r="D17" s="65">
        <f t="shared" si="0"/>
        <v>1483.7170669200002</v>
      </c>
      <c r="E17" s="65">
        <f t="shared" si="1"/>
        <v>754.24652069698186</v>
      </c>
      <c r="F17" s="65">
        <f t="shared" si="2"/>
        <v>1583.9150148799999</v>
      </c>
      <c r="G17" s="65">
        <f t="shared" si="4"/>
        <v>3822.0384981742982</v>
      </c>
      <c r="H17" s="66">
        <f>G17/Discount!B13</f>
        <v>1942.9305650585443</v>
      </c>
    </row>
    <row r="18" spans="1:8" s="54" customFormat="1">
      <c r="A18" s="54">
        <v>2030</v>
      </c>
      <c r="B18" s="54">
        <v>1</v>
      </c>
      <c r="C18" s="243">
        <f t="shared" si="3"/>
        <v>74.052873089528475</v>
      </c>
      <c r="D18" s="65">
        <f t="shared" si="0"/>
        <v>4156.6086187604487</v>
      </c>
      <c r="E18" s="65">
        <f t="shared" si="1"/>
        <v>1974.7748121756454</v>
      </c>
      <c r="F18" s="65">
        <f t="shared" si="2"/>
        <v>3471.2755212716361</v>
      </c>
      <c r="G18" s="65">
        <f t="shared" si="4"/>
        <v>9676.7118252972596</v>
      </c>
      <c r="H18" s="66">
        <f>G18/Discount!B14</f>
        <v>4597.3360809173028</v>
      </c>
    </row>
    <row r="19" spans="1:8" s="54" customFormat="1">
      <c r="A19" s="54">
        <v>2031</v>
      </c>
      <c r="B19" s="54">
        <v>2</v>
      </c>
      <c r="C19" s="243">
        <f t="shared" si="3"/>
        <v>75.36360894321318</v>
      </c>
      <c r="D19" s="65">
        <f t="shared" si="0"/>
        <v>4230.1805913125108</v>
      </c>
      <c r="E19" s="65">
        <f t="shared" si="1"/>
        <v>1878.2507722908003</v>
      </c>
      <c r="F19" s="65">
        <f t="shared" si="2"/>
        <v>3532.7170979981456</v>
      </c>
      <c r="G19" s="65">
        <f t="shared" si="4"/>
        <v>9716.5120705446698</v>
      </c>
      <c r="H19" s="66">
        <f>G19/Discount!B15</f>
        <v>4314.2475614287923</v>
      </c>
    </row>
    <row r="20" spans="1:8" s="54" customFormat="1">
      <c r="A20" s="54">
        <v>2032</v>
      </c>
      <c r="B20" s="54">
        <v>3</v>
      </c>
      <c r="C20" s="243">
        <f t="shared" si="3"/>
        <v>76.697544821508103</v>
      </c>
      <c r="D20" s="65">
        <f t="shared" si="0"/>
        <v>4305.054787778744</v>
      </c>
      <c r="E20" s="65">
        <f t="shared" si="1"/>
        <v>1786.4446831405121</v>
      </c>
      <c r="F20" s="65">
        <f t="shared" si="2"/>
        <v>3595.2461906327153</v>
      </c>
      <c r="G20" s="65">
        <f t="shared" si="4"/>
        <v>9763.4432063734785</v>
      </c>
      <c r="H20" s="66">
        <f>G20/Discount!B16</f>
        <v>4051.4818196238639</v>
      </c>
    </row>
    <row r="21" spans="1:8" s="54" customFormat="1">
      <c r="A21" s="54">
        <v>2033</v>
      </c>
      <c r="B21" s="54">
        <v>4</v>
      </c>
      <c r="C21" s="243">
        <f t="shared" si="3"/>
        <v>78.055091364848735</v>
      </c>
      <c r="D21" s="65">
        <f t="shared" si="0"/>
        <v>4381.2542575224261</v>
      </c>
      <c r="E21" s="65">
        <f t="shared" si="1"/>
        <v>1699.1259383477554</v>
      </c>
      <c r="F21" s="65">
        <f t="shared" si="2"/>
        <v>3658.8820482069123</v>
      </c>
      <c r="G21" s="65">
        <f t="shared" si="4"/>
        <v>9817.3173354419414</v>
      </c>
      <c r="H21" s="66">
        <f>G21/Discount!B17</f>
        <v>3807.3249232226494</v>
      </c>
    </row>
    <row r="22" spans="1:8" s="54" customFormat="1">
      <c r="A22" s="54">
        <v>2034</v>
      </c>
      <c r="B22" s="54">
        <v>5</v>
      </c>
      <c r="C22" s="243">
        <f t="shared" si="3"/>
        <v>79.436666482006672</v>
      </c>
      <c r="D22" s="65">
        <f t="shared" si="0"/>
        <v>4458.802457880578</v>
      </c>
      <c r="E22" s="65">
        <f t="shared" si="1"/>
        <v>1616.0752032303856</v>
      </c>
      <c r="F22" s="65">
        <f t="shared" si="2"/>
        <v>3723.6442604601789</v>
      </c>
      <c r="G22" s="65">
        <f t="shared" si="4"/>
        <v>9877.9585880531486</v>
      </c>
      <c r="H22" s="66">
        <f>G22/Discount!B18</f>
        <v>3580.2267724319267</v>
      </c>
    </row>
    <row r="23" spans="1:8" s="54" customFormat="1">
      <c r="A23" s="54">
        <v>2035</v>
      </c>
      <c r="B23" s="54">
        <v>6</v>
      </c>
      <c r="C23" s="243">
        <f t="shared" si="3"/>
        <v>80.842695478738079</v>
      </c>
      <c r="D23" s="65">
        <f t="shared" si="0"/>
        <v>4537.7232613850592</v>
      </c>
      <c r="E23" s="65">
        <f t="shared" si="1"/>
        <v>1537.0838638575342</v>
      </c>
      <c r="F23" s="65">
        <f t="shared" si="2"/>
        <v>3789.5527638703197</v>
      </c>
      <c r="G23" s="65">
        <f t="shared" si="4"/>
        <v>9945.2025845916505</v>
      </c>
      <c r="H23" s="66">
        <f>G23/Discount!B19</f>
        <v>3368.7841974973385</v>
      </c>
    </row>
    <row r="24" spans="1:8" s="54" customFormat="1">
      <c r="A24" s="54">
        <v>2036</v>
      </c>
      <c r="B24" s="54">
        <v>7</v>
      </c>
      <c r="C24" s="243">
        <f t="shared" si="3"/>
        <v>82.273611188711754</v>
      </c>
      <c r="D24" s="65">
        <f t="shared" si="0"/>
        <v>4618.0409631115763</v>
      </c>
      <c r="E24" s="65">
        <f t="shared" si="1"/>
        <v>1461.9535030353393</v>
      </c>
      <c r="F24" s="65">
        <f t="shared" si="2"/>
        <v>3856.6278477908254</v>
      </c>
      <c r="G24" s="65">
        <f t="shared" si="4"/>
        <v>10018.895925126453</v>
      </c>
      <c r="H24" s="66">
        <f>G24/Discount!B20</f>
        <v>3171.7258706202638</v>
      </c>
    </row>
    <row r="25" spans="1:8" s="54" customFormat="1">
      <c r="A25" s="54">
        <v>2037</v>
      </c>
      <c r="B25" s="54">
        <v>8</v>
      </c>
      <c r="C25" s="243">
        <f t="shared" si="3"/>
        <v>83.729854106751944</v>
      </c>
      <c r="D25" s="65">
        <f t="shared" si="0"/>
        <v>4699.7802881586495</v>
      </c>
      <c r="E25" s="65">
        <f t="shared" si="1"/>
        <v>1390.4954019056677</v>
      </c>
      <c r="F25" s="65">
        <f t="shared" si="2"/>
        <v>3924.8901606967211</v>
      </c>
      <c r="G25" s="65">
        <f t="shared" si="4"/>
        <v>10098.895704867791</v>
      </c>
      <c r="H25" s="66">
        <f>G25/Discount!B21</f>
        <v>2987.8988337655524</v>
      </c>
    </row>
    <row r="26" spans="1:8" s="54" customFormat="1">
      <c r="A26" s="54">
        <v>2038</v>
      </c>
      <c r="B26" s="54">
        <v>9</v>
      </c>
      <c r="C26" s="243">
        <f t="shared" si="3"/>
        <v>85.211872524441489</v>
      </c>
      <c r="D26" s="65">
        <f t="shared" si="0"/>
        <v>4782.9663992590595</v>
      </c>
      <c r="E26" s="65">
        <f t="shared" si="1"/>
        <v>1322.5300659059799</v>
      </c>
      <c r="F26" s="65">
        <f t="shared" si="2"/>
        <v>3994.3607165410554</v>
      </c>
      <c r="G26" s="65">
        <f t="shared" si="4"/>
        <v>10185.069054230536</v>
      </c>
      <c r="H26" s="66">
        <f>G26/Discount!B22</f>
        <v>2816.2564657855733</v>
      </c>
    </row>
    <row r="27" spans="1:8" s="54" customFormat="1">
      <c r="A27" s="54">
        <v>2039</v>
      </c>
      <c r="B27" s="54">
        <v>10</v>
      </c>
      <c r="C27" s="243">
        <f t="shared" si="3"/>
        <v>86.720122668124063</v>
      </c>
      <c r="D27" s="65">
        <f t="shared" si="0"/>
        <v>4867.6249045259428</v>
      </c>
      <c r="E27" s="65">
        <f t="shared" si="1"/>
        <v>1257.8867738995468</v>
      </c>
      <c r="F27" s="65">
        <f t="shared" si="2"/>
        <v>4065.0609012238301</v>
      </c>
      <c r="G27" s="65">
        <f t="shared" si="4"/>
        <v>10277.292702317443</v>
      </c>
      <c r="H27" s="66">
        <f>G27/Discount!B23</f>
        <v>2655.8477317591237</v>
      </c>
    </row>
    <row r="28" spans="1:8" s="54" customFormat="1">
      <c r="A28" s="54">
        <v>2040</v>
      </c>
      <c r="B28" s="54">
        <v>11</v>
      </c>
      <c r="C28" s="243">
        <f t="shared" si="3"/>
        <v>88.255068839349974</v>
      </c>
      <c r="D28" s="65">
        <f t="shared" si="0"/>
        <v>4953.7818653360582</v>
      </c>
      <c r="E28" s="65">
        <f t="shared" si="1"/>
        <v>1196.4031493435239</v>
      </c>
      <c r="F28" s="65">
        <f t="shared" si="2"/>
        <v>4137.0124791754979</v>
      </c>
      <c r="G28" s="65">
        <f t="shared" si="4"/>
        <v>10375.452562694431</v>
      </c>
      <c r="H28" s="66">
        <f>G28/Discount!B24</f>
        <v>2505.8075747608345</v>
      </c>
    </row>
    <row r="29" spans="1:8" s="54" customFormat="1">
      <c r="A29" s="54">
        <v>2041</v>
      </c>
      <c r="B29" s="54">
        <v>12</v>
      </c>
      <c r="C29" s="243">
        <f t="shared" si="3"/>
        <v>89.817183557806516</v>
      </c>
      <c r="D29" s="65">
        <f t="shared" si="0"/>
        <v>5041.4638043525083</v>
      </c>
      <c r="E29" s="65">
        <f t="shared" si="1"/>
        <v>1137.9247524176678</v>
      </c>
      <c r="F29" s="65">
        <f t="shared" si="2"/>
        <v>4210.2376000569047</v>
      </c>
      <c r="G29" s="65">
        <f t="shared" si="4"/>
        <v>10479.443340384889</v>
      </c>
      <c r="H29" s="66">
        <f>G29/Discount!B25</f>
        <v>2365.3483256762165</v>
      </c>
    </row>
    <row r="30" spans="1:8" s="54" customFormat="1">
      <c r="A30" s="54">
        <v>2042</v>
      </c>
      <c r="B30" s="54">
        <v>13</v>
      </c>
      <c r="C30" s="243">
        <f t="shared" si="3"/>
        <v>91.406947706779548</v>
      </c>
      <c r="D30" s="65">
        <f t="shared" si="0"/>
        <v>5130.6977136895412</v>
      </c>
      <c r="E30" s="65">
        <f t="shared" si="1"/>
        <v>1082.3046920892141</v>
      </c>
      <c r="F30" s="65">
        <f t="shared" si="2"/>
        <v>4284.758805577907</v>
      </c>
      <c r="G30" s="65">
        <f t="shared" si="4"/>
        <v>10589.168159063442</v>
      </c>
      <c r="H30" s="66">
        <f>G30/Discount!B26</f>
        <v>2233.7520203727904</v>
      </c>
    </row>
    <row r="31" spans="1:8" s="54" customFormat="1">
      <c r="A31" s="54">
        <v>2043</v>
      </c>
      <c r="B31" s="54">
        <v>14</v>
      </c>
      <c r="C31" s="243">
        <f t="shared" si="3"/>
        <v>93.024850681189577</v>
      </c>
      <c r="D31" s="65">
        <f t="shared" si="0"/>
        <v>5221.5110632218475</v>
      </c>
      <c r="E31" s="65">
        <f t="shared" si="1"/>
        <v>1029.4032571394332</v>
      </c>
      <c r="F31" s="65">
        <f t="shared" si="2"/>
        <v>4360.5990364366371</v>
      </c>
      <c r="G31" s="65">
        <f t="shared" si="4"/>
        <v>10704.538207479107</v>
      </c>
      <c r="H31" s="66">
        <f>G31/Discount!B27</f>
        <v>2110.3635257172532</v>
      </c>
    </row>
    <row r="32" spans="1:8" s="54" customFormat="1">
      <c r="A32" s="54">
        <v>2044</v>
      </c>
      <c r="B32" s="54">
        <v>15</v>
      </c>
      <c r="C32" s="243">
        <f t="shared" si="3"/>
        <v>94.671390538246641</v>
      </c>
      <c r="D32" s="65">
        <f t="shared" si="0"/>
        <v>5313.9318090408742</v>
      </c>
      <c r="E32" s="65">
        <f t="shared" si="1"/>
        <v>979.0875652250478</v>
      </c>
      <c r="F32" s="65">
        <f t="shared" si="2"/>
        <v>4437.7816393815656</v>
      </c>
      <c r="G32" s="65">
        <f t="shared" si="4"/>
        <v>10825.472404185733</v>
      </c>
      <c r="H32" s="66">
        <f>G32/Discount!B28</f>
        <v>1994.5843867609228</v>
      </c>
    </row>
    <row r="33" spans="1:8" s="54" customFormat="1">
      <c r="A33" s="54">
        <v>2045</v>
      </c>
      <c r="B33" s="54">
        <v>16</v>
      </c>
      <c r="C33" s="243">
        <f t="shared" si="3"/>
        <v>96.347074150773636</v>
      </c>
      <c r="D33" s="65">
        <f t="shared" si="0"/>
        <v>5407.9884020608988</v>
      </c>
      <c r="E33" s="65">
        <f t="shared" si="1"/>
        <v>931.23122909302003</v>
      </c>
      <c r="F33" s="65">
        <f t="shared" si="2"/>
        <v>4516.3303743986216</v>
      </c>
      <c r="G33" s="65">
        <f t="shared" si="4"/>
        <v>10951.897079703314</v>
      </c>
      <c r="H33" s="66">
        <f>G33/Discount!B29</f>
        <v>1885.8673170500499</v>
      </c>
    </row>
    <row r="34" spans="1:8" s="54" customFormat="1">
      <c r="A34" s="54">
        <v>2046</v>
      </c>
      <c r="B34" s="54">
        <v>17</v>
      </c>
      <c r="C34" s="243">
        <f t="shared" si="3"/>
        <v>98.052417363242355</v>
      </c>
      <c r="D34" s="65">
        <f t="shared" si="0"/>
        <v>5503.7097967773789</v>
      </c>
      <c r="E34" s="65">
        <f t="shared" si="1"/>
        <v>885.71403911024902</v>
      </c>
      <c r="F34" s="65">
        <f t="shared" si="2"/>
        <v>4596.2694220254771</v>
      </c>
      <c r="G34" s="65">
        <f t="shared" si="4"/>
        <v>11083.745675276346</v>
      </c>
      <c r="H34" s="66">
        <f>G34/Discount!B30</f>
        <v>1783.7112625865548</v>
      </c>
    </row>
    <row r="35" spans="1:8" s="54" customFormat="1">
      <c r="A35" s="54">
        <v>2047</v>
      </c>
      <c r="B35" s="54">
        <v>18</v>
      </c>
      <c r="C35" s="243">
        <f t="shared" si="3"/>
        <v>99.787945150571687</v>
      </c>
      <c r="D35" s="65">
        <f t="shared" si="0"/>
        <v>5601.1254601803339</v>
      </c>
      <c r="E35" s="65">
        <f t="shared" si="1"/>
        <v>842.42166131074771</v>
      </c>
      <c r="F35" s="65">
        <f t="shared" si="2"/>
        <v>4677.6233907953256</v>
      </c>
      <c r="G35" s="65">
        <f t="shared" si="4"/>
        <v>11220.958457436978</v>
      </c>
      <c r="H35" s="66">
        <f>G35/Discount!B31</f>
        <v>1687.6569775868941</v>
      </c>
    </row>
    <row r="36" spans="1:8" s="54" customFormat="1">
      <c r="A36" s="54">
        <v>2048</v>
      </c>
      <c r="B36" s="54">
        <v>19</v>
      </c>
      <c r="C36" s="243">
        <f t="shared" si="3"/>
        <v>101.55419177973681</v>
      </c>
      <c r="D36" s="65">
        <f t="shared" si="0"/>
        <v>5700.2653808255263</v>
      </c>
      <c r="E36" s="65">
        <f t="shared" si="1"/>
        <v>801.24535020182066</v>
      </c>
      <c r="F36" s="65">
        <f t="shared" si="2"/>
        <v>4760.4173248124034</v>
      </c>
      <c r="G36" s="65">
        <f t="shared" si="4"/>
        <v>11363.482247619488</v>
      </c>
      <c r="H36" s="66">
        <f>G36/Discount!B32</f>
        <v>1597.2830569666298</v>
      </c>
    </row>
    <row r="37" spans="1:8" s="54" customFormat="1">
      <c r="A37" s="54">
        <v>2049</v>
      </c>
      <c r="B37" s="54">
        <v>20</v>
      </c>
      <c r="C37" s="243">
        <f t="shared" si="3"/>
        <v>103.35170097423823</v>
      </c>
      <c r="D37" s="65">
        <f t="shared" si="0"/>
        <v>5801.1600780661429</v>
      </c>
      <c r="E37" s="65">
        <f t="shared" si="1"/>
        <v>762.08167560784432</v>
      </c>
      <c r="F37" s="65">
        <f t="shared" si="2"/>
        <v>4844.6767114615859</v>
      </c>
      <c r="G37" s="65">
        <f t="shared" si="4"/>
        <v>11511.270166109811</v>
      </c>
      <c r="H37" s="66">
        <f>G37/Discount!B33</f>
        <v>1512.2023765094821</v>
      </c>
    </row>
    <row r="38" spans="1:8" s="54" customFormat="1">
      <c r="A38" s="54">
        <v>2050</v>
      </c>
      <c r="B38" s="54">
        <v>21</v>
      </c>
      <c r="C38" s="243">
        <f t="shared" si="3"/>
        <v>105.18102608148216</v>
      </c>
      <c r="D38" s="65">
        <f t="shared" si="0"/>
        <v>5903.8406114479094</v>
      </c>
      <c r="E38" s="65">
        <f t="shared" si="1"/>
        <v>724.83226286551633</v>
      </c>
      <c r="F38" s="65">
        <f t="shared" si="2"/>
        <v>4930.4274892544518</v>
      </c>
      <c r="G38" s="65">
        <f t="shared" si="4"/>
        <v>11664.281389649359</v>
      </c>
      <c r="H38" s="66">
        <f>G38/Discount!B34</f>
        <v>1432.0588970450174</v>
      </c>
    </row>
    <row r="39" spans="1:8" s="54" customFormat="1">
      <c r="A39" s="54">
        <v>2051</v>
      </c>
      <c r="B39" s="54">
        <v>22</v>
      </c>
      <c r="C39" s="243">
        <f t="shared" si="3"/>
        <v>107.04273024312454</v>
      </c>
      <c r="D39" s="65">
        <f t="shared" si="0"/>
        <v>6008.338590270545</v>
      </c>
      <c r="E39" s="65">
        <f t="shared" si="1"/>
        <v>689.40354571797855</v>
      </c>
      <c r="F39" s="65">
        <f t="shared" si="2"/>
        <v>5017.6960558142628</v>
      </c>
      <c r="G39" s="65">
        <f t="shared" si="4"/>
        <v>11822.48092204591</v>
      </c>
      <c r="H39" s="66">
        <f>G39/Discount!B35</f>
        <v>1356.5247937324725</v>
      </c>
    </row>
    <row r="40" spans="1:8" s="54" customFormat="1">
      <c r="A40" s="54">
        <v>2052</v>
      </c>
      <c r="B40" s="54">
        <v>23</v>
      </c>
      <c r="C40" s="243">
        <f t="shared" si="3"/>
        <v>108.93738656842777</v>
      </c>
      <c r="D40" s="65">
        <f t="shared" si="0"/>
        <v>6114.686183318332</v>
      </c>
      <c r="E40" s="65">
        <f t="shared" si="1"/>
        <v>655.70653128709023</v>
      </c>
      <c r="F40" s="65">
        <f t="shared" si="2"/>
        <v>5106.5092760021735</v>
      </c>
      <c r="G40" s="65">
        <f t="shared" si="4"/>
        <v>11985.839377176024</v>
      </c>
      <c r="H40" s="66">
        <f>G40/Discount!B36</f>
        <v>1285.2978757950359</v>
      </c>
    </row>
    <row r="41" spans="1:8" s="54" customFormat="1">
      <c r="A41" s="54">
        <v>2053</v>
      </c>
      <c r="B41" s="54">
        <v>24</v>
      </c>
      <c r="C41" s="243">
        <f t="shared" si="3"/>
        <v>110.86557831068899</v>
      </c>
      <c r="D41" s="65">
        <f t="shared" si="0"/>
        <v>6222.9161287630686</v>
      </c>
      <c r="E41" s="65">
        <f t="shared" si="1"/>
        <v>623.65657653352514</v>
      </c>
      <c r="F41" s="65">
        <f t="shared" si="2"/>
        <v>5196.8944901874147</v>
      </c>
      <c r="G41" s="65">
        <f t="shared" si="4"/>
        <v>12154.332773794697</v>
      </c>
      <c r="H41" s="66">
        <f>G41/Discount!B37</f>
        <v>1218.099265827761</v>
      </c>
    </row>
    <row r="42" spans="1:8" s="54" customFormat="1">
      <c r="A42" s="54">
        <v>2054</v>
      </c>
      <c r="B42" s="54">
        <v>25</v>
      </c>
      <c r="C42" s="243">
        <f t="shared" si="3"/>
        <v>112.82789904678816</v>
      </c>
      <c r="D42" s="65">
        <f t="shared" si="0"/>
        <v>6333.0617442421717</v>
      </c>
      <c r="E42" s="65">
        <f t="shared" si="1"/>
        <v>593.17317564314783</v>
      </c>
      <c r="F42" s="65">
        <f t="shared" si="2"/>
        <v>5288.8795226637294</v>
      </c>
      <c r="G42" s="65">
        <f t="shared" si="4"/>
        <v>12327.942341595837</v>
      </c>
      <c r="H42" s="66">
        <f>G42/Discount!B38</f>
        <v>1154.671311164529</v>
      </c>
    </row>
    <row r="43" spans="1:8" s="54" customFormat="1">
      <c r="A43" s="54">
        <v>2055</v>
      </c>
      <c r="B43" s="54">
        <v>26</v>
      </c>
      <c r="C43" s="243">
        <f t="shared" si="3"/>
        <v>114.82495285991617</v>
      </c>
      <c r="D43" s="65">
        <f t="shared" si="0"/>
        <v>6445.1569371152509</v>
      </c>
      <c r="E43" s="65">
        <f t="shared" si="1"/>
        <v>564.17975780563631</v>
      </c>
      <c r="F43" s="65">
        <f t="shared" si="2"/>
        <v>5382.49269021487</v>
      </c>
      <c r="G43" s="65">
        <f t="shared" si="4"/>
        <v>12506.654337995675</v>
      </c>
      <c r="H43" s="66">
        <f>G43/Discount!B39</f>
        <v>1094.7757027817797</v>
      </c>
    </row>
    <row r="44" spans="1:8" s="54" customFormat="1">
      <c r="A44" s="54">
        <v>2056</v>
      </c>
      <c r="B44" s="54">
        <v>27</v>
      </c>
      <c r="C44" s="243">
        <f t="shared" si="3"/>
        <v>116.85735452553682</v>
      </c>
      <c r="D44" s="65">
        <f t="shared" si="0"/>
        <v>6559.2362149021974</v>
      </c>
      <c r="E44" s="65">
        <f t="shared" si="1"/>
        <v>536.60349487738006</v>
      </c>
      <c r="F44" s="65">
        <f t="shared" si="2"/>
        <v>5477.7628108316794</v>
      </c>
      <c r="G44" s="65">
        <f t="shared" si="4"/>
        <v>12690.459875136794</v>
      </c>
      <c r="H44" s="66">
        <f>G44/Discount!B40</f>
        <v>1038.1917798795268</v>
      </c>
    </row>
    <row r="45" spans="1:8" s="54" customFormat="1">
      <c r="A45" s="54">
        <v>2057</v>
      </c>
      <c r="B45" s="54">
        <v>28</v>
      </c>
      <c r="C45" s="243">
        <f t="shared" si="3"/>
        <v>118.92572970063887</v>
      </c>
      <c r="D45" s="65">
        <f t="shared" si="0"/>
        <v>6675.33469590597</v>
      </c>
      <c r="E45" s="65">
        <f t="shared" si="1"/>
        <v>510.37511844552336</v>
      </c>
      <c r="F45" s="65">
        <f t="shared" si="2"/>
        <v>5574.7192125834026</v>
      </c>
      <c r="G45" s="65">
        <f t="shared" si="4"/>
        <v>12879.354756635534</v>
      </c>
      <c r="H45" s="66">
        <f>G45/Discount!B41</f>
        <v>984.71500065026373</v>
      </c>
    </row>
    <row r="46" spans="1:8" s="54" customFormat="1">
      <c r="A46" s="54">
        <v>2058</v>
      </c>
      <c r="B46" s="54">
        <v>29</v>
      </c>
      <c r="C46" s="243">
        <f t="shared" si="3"/>
        <v>121.03071511634006</v>
      </c>
      <c r="D46" s="65">
        <f t="shared" si="0"/>
        <v>6793.4881200234977</v>
      </c>
      <c r="E46" s="65">
        <f t="shared" si="1"/>
        <v>485.42874583365278</v>
      </c>
      <c r="F46" s="65">
        <f t="shared" si="2"/>
        <v>5673.391742646123</v>
      </c>
      <c r="G46" s="65">
        <f t="shared" si="4"/>
        <v>13073.339323619613</v>
      </c>
      <c r="H46" s="66">
        <f>G46/Discount!B42</f>
        <v>934.15556185597529</v>
      </c>
    </row>
    <row r="47" spans="1:8" s="54" customFormat="1">
      <c r="A47" s="54">
        <v>2059</v>
      </c>
      <c r="B47" s="54">
        <v>30</v>
      </c>
      <c r="C47" s="243">
        <f t="shared" si="3"/>
        <v>123.17295877389934</v>
      </c>
      <c r="D47" s="65">
        <f t="shared" si="0"/>
        <v>6913.7328597479172</v>
      </c>
      <c r="E47" s="65">
        <f t="shared" si="1"/>
        <v>461.70171461206428</v>
      </c>
      <c r="F47" s="65">
        <f t="shared" si="2"/>
        <v>5773.8107764909628</v>
      </c>
      <c r="G47" s="65">
        <f t="shared" si="4"/>
        <v>13272.418309624843</v>
      </c>
      <c r="H47" s="66">
        <f>G47/Discount!B43</f>
        <v>886.33715171138044</v>
      </c>
    </row>
    <row r="48" spans="1:8" s="54" customFormat="1" ht="39.6" customHeight="1" thickBot="1">
      <c r="A48" s="354" t="s">
        <v>387</v>
      </c>
      <c r="B48" s="354"/>
      <c r="C48" s="70">
        <f t="shared" ref="C48:F48" si="5">SUM(C7:C47)</f>
        <v>2898.7987296685974</v>
      </c>
      <c r="D48" s="70">
        <f t="shared" si="5"/>
        <v>167134.61518974297</v>
      </c>
      <c r="E48" s="70">
        <f t="shared" si="5"/>
        <v>33842.326452337984</v>
      </c>
      <c r="F48" s="70">
        <f t="shared" si="5"/>
        <v>140612.29340414333</v>
      </c>
      <c r="G48" s="70">
        <f>SUM(G7:G47)</f>
        <v>344488.03377589287</v>
      </c>
      <c r="H48" s="70">
        <f>SUM(H7:H47)</f>
        <v>72751.188066163799</v>
      </c>
    </row>
    <row r="49" spans="1:13" s="54" customFormat="1" ht="15.75" thickTop="1"/>
    <row r="50" spans="1:13" s="54" customFormat="1" ht="28.15" customHeight="1">
      <c r="A50" s="360" t="s">
        <v>316</v>
      </c>
      <c r="B50" s="360"/>
      <c r="C50" s="360"/>
      <c r="D50" s="360"/>
      <c r="E50" s="360" t="s">
        <v>317</v>
      </c>
      <c r="F50" s="360"/>
      <c r="H50" s="357" t="s">
        <v>645</v>
      </c>
      <c r="I50" s="357"/>
      <c r="J50" s="357"/>
      <c r="K50" s="357"/>
      <c r="L50" s="357"/>
      <c r="M50" s="357"/>
    </row>
    <row r="51" spans="1:13" s="54" customFormat="1">
      <c r="A51" s="350" t="s">
        <v>318</v>
      </c>
      <c r="B51" s="350"/>
      <c r="C51" s="350"/>
      <c r="D51" s="1">
        <v>4.0430000000000001</v>
      </c>
      <c r="E51" s="361" t="s">
        <v>319</v>
      </c>
      <c r="F51" s="361"/>
      <c r="H51" s="1" t="s">
        <v>646</v>
      </c>
      <c r="I51" s="1"/>
      <c r="J51" s="1"/>
      <c r="K51" s="1"/>
      <c r="L51" s="1"/>
      <c r="M51" s="1"/>
    </row>
    <row r="52" spans="1:13" s="54" customFormat="1">
      <c r="A52" s="350" t="s">
        <v>320</v>
      </c>
      <c r="B52" s="350"/>
      <c r="C52" s="350"/>
      <c r="D52" s="18">
        <v>4.0650000000000004</v>
      </c>
      <c r="E52" s="361"/>
      <c r="F52" s="361"/>
      <c r="G52" s="90"/>
      <c r="H52" s="1" t="s">
        <v>647</v>
      </c>
      <c r="I52" s="258">
        <f>'Initial Cost'!C36</f>
        <v>106000</v>
      </c>
      <c r="J52" s="1" t="s">
        <v>648</v>
      </c>
      <c r="K52" s="1"/>
      <c r="L52" s="1"/>
      <c r="M52" s="1"/>
    </row>
    <row r="53" spans="1:13" s="54" customFormat="1">
      <c r="A53" s="317" t="s">
        <v>321</v>
      </c>
      <c r="B53" s="358"/>
      <c r="C53" s="318"/>
      <c r="D53" s="21">
        <v>11.6</v>
      </c>
      <c r="E53" s="359" t="s">
        <v>322</v>
      </c>
      <c r="F53" s="359"/>
      <c r="G53" s="91"/>
      <c r="H53" s="1" t="s">
        <v>649</v>
      </c>
      <c r="I53" s="258">
        <f>I52*0.15</f>
        <v>15900</v>
      </c>
      <c r="J53" s="1" t="s">
        <v>648</v>
      </c>
      <c r="K53" s="1"/>
      <c r="L53" s="1"/>
      <c r="M53" s="1"/>
    </row>
    <row r="54" spans="1:13" s="54" customFormat="1" ht="88.9" customHeight="1">
      <c r="A54" s="317" t="s">
        <v>323</v>
      </c>
      <c r="B54" s="358"/>
      <c r="C54" s="318"/>
      <c r="D54" s="21">
        <v>22.3</v>
      </c>
      <c r="E54" s="359" t="s">
        <v>324</v>
      </c>
      <c r="F54" s="359"/>
      <c r="G54" s="91"/>
      <c r="H54" s="1" t="s">
        <v>651</v>
      </c>
      <c r="I54" s="1">
        <v>89</v>
      </c>
      <c r="J54" s="1" t="s">
        <v>392</v>
      </c>
      <c r="K54" s="1" t="s">
        <v>676</v>
      </c>
      <c r="L54" s="1"/>
      <c r="M54" s="1"/>
    </row>
    <row r="55" spans="1:13" s="54" customFormat="1" ht="48" customHeight="1">
      <c r="A55" s="317" t="s">
        <v>325</v>
      </c>
      <c r="B55" s="358"/>
      <c r="C55" s="318"/>
      <c r="D55" s="21">
        <v>7.4</v>
      </c>
      <c r="E55" s="362" t="s">
        <v>640</v>
      </c>
      <c r="F55" s="363"/>
      <c r="G55" s="91"/>
      <c r="H55" s="1" t="s">
        <v>650</v>
      </c>
      <c r="I55" s="1">
        <v>25</v>
      </c>
      <c r="J55" s="1" t="s">
        <v>652</v>
      </c>
      <c r="K55" s="1"/>
      <c r="L55" s="1"/>
      <c r="M55" s="1"/>
    </row>
    <row r="56" spans="1:13" s="54" customFormat="1" ht="20.45" customHeight="1">
      <c r="A56" s="317" t="s">
        <v>361</v>
      </c>
      <c r="B56" s="358"/>
      <c r="C56" s="318"/>
      <c r="D56" s="21">
        <v>0.34</v>
      </c>
      <c r="E56" s="93" t="s">
        <v>362</v>
      </c>
      <c r="F56" s="92" t="s">
        <v>363</v>
      </c>
      <c r="G56" s="91"/>
      <c r="H56" s="75" t="s">
        <v>653</v>
      </c>
      <c r="I56" s="1">
        <f>I53/I55</f>
        <v>636</v>
      </c>
      <c r="J56" s="1" t="s">
        <v>654</v>
      </c>
      <c r="K56" s="1"/>
      <c r="L56" s="1"/>
      <c r="M56" s="1"/>
    </row>
    <row r="57" spans="1:13" s="54" customFormat="1" ht="31.9" customHeight="1">
      <c r="A57" s="317" t="s">
        <v>326</v>
      </c>
      <c r="B57" s="358"/>
      <c r="C57" s="318"/>
      <c r="D57" s="21">
        <v>19.600000000000001</v>
      </c>
      <c r="E57" s="93" t="s">
        <v>327</v>
      </c>
      <c r="F57" s="235" t="s">
        <v>641</v>
      </c>
      <c r="G57" s="91"/>
      <c r="H57" s="75" t="s">
        <v>655</v>
      </c>
      <c r="I57" s="258">
        <f>I54*I56</f>
        <v>56604</v>
      </c>
      <c r="J57" s="1" t="s">
        <v>392</v>
      </c>
      <c r="K57" s="1"/>
      <c r="L57" s="1"/>
      <c r="M57" s="1"/>
    </row>
    <row r="58" spans="1:13" s="54" customFormat="1">
      <c r="A58" s="317" t="s">
        <v>328</v>
      </c>
      <c r="B58" s="358"/>
      <c r="C58" s="318"/>
      <c r="D58" s="21">
        <v>453.59237000000002</v>
      </c>
      <c r="E58" s="94"/>
      <c r="F58" s="94"/>
      <c r="G58" s="91"/>
      <c r="H58" s="1" t="s">
        <v>656</v>
      </c>
      <c r="I58" s="1">
        <v>2026</v>
      </c>
      <c r="J58" s="1"/>
      <c r="K58" s="1" t="s">
        <v>657</v>
      </c>
      <c r="L58" s="258">
        <f>$I$57/3</f>
        <v>18868</v>
      </c>
      <c r="M58" s="1"/>
    </row>
    <row r="59" spans="1:13" s="54" customFormat="1">
      <c r="A59" s="350" t="s">
        <v>329</v>
      </c>
      <c r="B59" s="350"/>
      <c r="C59" s="350"/>
      <c r="D59" s="22">
        <v>9.9999999999999995E-7</v>
      </c>
      <c r="E59" s="345"/>
      <c r="F59" s="345"/>
      <c r="H59" s="1" t="s">
        <v>656</v>
      </c>
      <c r="I59" s="1">
        <v>2027</v>
      </c>
      <c r="J59" s="1"/>
      <c r="K59" s="1" t="s">
        <v>657</v>
      </c>
      <c r="L59" s="258">
        <f t="shared" ref="L59:L60" si="6">$I$57/3</f>
        <v>18868</v>
      </c>
      <c r="M59" s="1"/>
    </row>
    <row r="60" spans="1:13" s="54" customFormat="1">
      <c r="A60" s="350" t="s">
        <v>330</v>
      </c>
      <c r="B60" s="350"/>
      <c r="C60" s="350"/>
      <c r="D60" s="22">
        <v>1.1000000000000001E-6</v>
      </c>
      <c r="E60" s="345"/>
      <c r="F60" s="345"/>
      <c r="H60" s="1" t="s">
        <v>656</v>
      </c>
      <c r="I60" s="1">
        <v>2028</v>
      </c>
      <c r="J60" s="1"/>
      <c r="K60" s="1" t="s">
        <v>657</v>
      </c>
      <c r="L60" s="258">
        <f t="shared" si="6"/>
        <v>18868</v>
      </c>
      <c r="M60" s="1"/>
    </row>
    <row r="61" spans="1:13" s="54" customFormat="1">
      <c r="A61" s="317" t="s">
        <v>331</v>
      </c>
      <c r="B61" s="358"/>
      <c r="C61" s="318"/>
      <c r="D61" s="22">
        <v>1.1014999999999999</v>
      </c>
      <c r="E61" s="345" t="s">
        <v>639</v>
      </c>
      <c r="F61" s="345"/>
    </row>
    <row r="62" spans="1:13" s="54" customFormat="1" ht="14.45" customHeight="1">
      <c r="A62" s="350" t="s">
        <v>332</v>
      </c>
      <c r="B62" s="350"/>
      <c r="C62" s="350"/>
      <c r="D62" s="23">
        <v>30</v>
      </c>
      <c r="E62" s="345"/>
      <c r="F62" s="345"/>
      <c r="H62" s="355" t="s">
        <v>341</v>
      </c>
      <c r="I62" s="355"/>
      <c r="J62" s="355" t="s">
        <v>658</v>
      </c>
      <c r="K62" s="355"/>
      <c r="L62" s="355"/>
    </row>
    <row r="63" spans="1:13" s="54" customFormat="1" ht="30">
      <c r="A63" s="317" t="s">
        <v>333</v>
      </c>
      <c r="B63" s="358"/>
      <c r="C63" s="318"/>
      <c r="D63" s="25">
        <f>'Travel Time Savings'!B10</f>
        <v>1.77E-2</v>
      </c>
      <c r="E63" s="87"/>
      <c r="F63" s="87"/>
      <c r="H63" s="356"/>
      <c r="I63" s="356"/>
      <c r="J63" s="237" t="s">
        <v>659</v>
      </c>
      <c r="K63" s="237" t="s">
        <v>660</v>
      </c>
      <c r="L63" s="237" t="s">
        <v>661</v>
      </c>
    </row>
    <row r="64" spans="1:13" s="54" customFormat="1">
      <c r="A64" s="317" t="s">
        <v>334</v>
      </c>
      <c r="B64" s="358"/>
      <c r="C64" s="318"/>
      <c r="D64" s="23">
        <f>'Travel Time Savings'!B6</f>
        <v>700</v>
      </c>
      <c r="E64" s="87"/>
      <c r="F64" s="87"/>
      <c r="H64" s="218" t="s">
        <v>343</v>
      </c>
      <c r="I64" s="218">
        <f>B77</f>
        <v>0.44700000000000001</v>
      </c>
      <c r="J64" s="238">
        <f>$L$58*I64</f>
        <v>8433.996000000001</v>
      </c>
      <c r="K64" s="238">
        <f>$L$59*I64</f>
        <v>8433.996000000001</v>
      </c>
      <c r="L64" s="238">
        <f>$L$60*I64</f>
        <v>8433.996000000001</v>
      </c>
      <c r="M64" s="54" t="s">
        <v>662</v>
      </c>
    </row>
    <row r="65" spans="1:13" s="54" customFormat="1">
      <c r="A65" s="374" t="s">
        <v>335</v>
      </c>
      <c r="B65" s="375"/>
      <c r="C65" s="376"/>
      <c r="D65" s="236">
        <f>'Travel Time Savings'!C7</f>
        <v>0.85499999999999998</v>
      </c>
      <c r="E65" s="87"/>
      <c r="F65" s="87"/>
      <c r="H65" s="218" t="s">
        <v>346</v>
      </c>
      <c r="I65" s="218">
        <f>B78</f>
        <v>2.3109999999999999</v>
      </c>
      <c r="J65" s="238">
        <f t="shared" ref="J65:J68" si="7">$L$58*I65</f>
        <v>43603.947999999997</v>
      </c>
      <c r="K65" s="238">
        <f t="shared" ref="K65:K68" si="8">$L$59*I65</f>
        <v>43603.947999999997</v>
      </c>
      <c r="L65" s="238">
        <f t="shared" ref="L65:L68" si="9">$L$60*I65</f>
        <v>43603.947999999997</v>
      </c>
      <c r="M65" s="54" t="s">
        <v>662</v>
      </c>
    </row>
    <row r="66" spans="1:13" s="54" customFormat="1" ht="19.5" customHeight="1">
      <c r="A66" s="374" t="s">
        <v>336</v>
      </c>
      <c r="B66" s="375"/>
      <c r="C66" s="376"/>
      <c r="D66" s="236">
        <f>'Travel Time Savings'!C8</f>
        <v>0.14499999999999999</v>
      </c>
      <c r="E66" s="87"/>
      <c r="F66" s="87"/>
      <c r="H66" s="218" t="s">
        <v>347</v>
      </c>
      <c r="I66" s="218">
        <f>B79</f>
        <v>8.6129999999999995</v>
      </c>
      <c r="J66" s="238">
        <f t="shared" si="7"/>
        <v>162510.084</v>
      </c>
      <c r="K66" s="238">
        <f t="shared" si="8"/>
        <v>162510.084</v>
      </c>
      <c r="L66" s="238">
        <f t="shared" si="9"/>
        <v>162510.084</v>
      </c>
      <c r="M66" s="54" t="s">
        <v>662</v>
      </c>
    </row>
    <row r="67" spans="1:13" s="54" customFormat="1">
      <c r="A67" s="317" t="s">
        <v>29</v>
      </c>
      <c r="B67" s="358"/>
      <c r="C67" s="318"/>
      <c r="D67" s="23">
        <f>'Travel Time Savings'!E6</f>
        <v>365</v>
      </c>
      <c r="E67" s="87"/>
      <c r="F67" s="87"/>
      <c r="H67" s="218" t="s">
        <v>348</v>
      </c>
      <c r="I67" s="218">
        <f>B80</f>
        <v>0.20200000000000001</v>
      </c>
      <c r="J67" s="238">
        <f t="shared" si="7"/>
        <v>3811.3360000000002</v>
      </c>
      <c r="K67" s="238">
        <f t="shared" si="8"/>
        <v>3811.3360000000002</v>
      </c>
      <c r="L67" s="238">
        <f t="shared" si="9"/>
        <v>3811.3360000000002</v>
      </c>
      <c r="M67" s="54" t="s">
        <v>662</v>
      </c>
    </row>
    <row r="68" spans="1:13" s="54" customFormat="1">
      <c r="A68" s="350" t="s">
        <v>337</v>
      </c>
      <c r="B68" s="350"/>
      <c r="C68" s="350"/>
      <c r="D68" s="24">
        <v>2000</v>
      </c>
      <c r="E68" s="345" t="s">
        <v>639</v>
      </c>
      <c r="F68" s="345"/>
      <c r="H68" s="218" t="s">
        <v>350</v>
      </c>
      <c r="I68" s="218">
        <f>B81</f>
        <v>8.474437</v>
      </c>
      <c r="J68" s="238">
        <f t="shared" si="7"/>
        <v>159895.67731599999</v>
      </c>
      <c r="K68" s="238">
        <f t="shared" si="8"/>
        <v>159895.67731599999</v>
      </c>
      <c r="L68" s="238">
        <f t="shared" si="9"/>
        <v>159895.67731599999</v>
      </c>
      <c r="M68" s="54" t="s">
        <v>662</v>
      </c>
    </row>
    <row r="69" spans="1:13" s="54" customFormat="1">
      <c r="A69" s="350" t="s">
        <v>338</v>
      </c>
      <c r="B69" s="350"/>
      <c r="C69" s="350"/>
      <c r="D69" s="24">
        <v>1</v>
      </c>
      <c r="E69" s="345" t="s">
        <v>642</v>
      </c>
      <c r="F69" s="345"/>
    </row>
    <row r="70" spans="1:13" s="54" customFormat="1">
      <c r="A70" s="350" t="s">
        <v>339</v>
      </c>
      <c r="B70" s="350"/>
      <c r="C70" s="350"/>
      <c r="D70" s="95">
        <v>8300</v>
      </c>
      <c r="E70" s="345" t="s">
        <v>639</v>
      </c>
      <c r="F70" s="345"/>
    </row>
    <row r="71" spans="1:13" s="54" customFormat="1">
      <c r="A71" s="350" t="s">
        <v>340</v>
      </c>
      <c r="B71" s="350"/>
      <c r="C71" s="350"/>
      <c r="D71" s="24">
        <v>377800</v>
      </c>
      <c r="E71" s="87" t="s">
        <v>639</v>
      </c>
      <c r="F71" s="1"/>
    </row>
    <row r="72" spans="1:13" s="54" customFormat="1">
      <c r="A72" s="366" t="s">
        <v>286</v>
      </c>
      <c r="B72" s="366"/>
      <c r="C72" s="367"/>
      <c r="D72" s="23">
        <f>'Travel Time Savings'!E11</f>
        <v>55</v>
      </c>
      <c r="E72" s="346" t="s">
        <v>160</v>
      </c>
      <c r="F72" s="347"/>
    </row>
    <row r="73" spans="1:13" s="54" customFormat="1" ht="15" customHeight="1">
      <c r="A73" s="358" t="s">
        <v>287</v>
      </c>
      <c r="B73" s="358"/>
      <c r="C73" s="318"/>
      <c r="D73" s="23">
        <f>'Travel Time Savings'!E12</f>
        <v>65</v>
      </c>
      <c r="E73" s="346" t="s">
        <v>160</v>
      </c>
      <c r="F73" s="347"/>
    </row>
    <row r="74" spans="1:13" s="54" customFormat="1" ht="30" customHeight="1">
      <c r="A74" s="358" t="s">
        <v>360</v>
      </c>
      <c r="B74" s="358"/>
      <c r="C74" s="318"/>
      <c r="D74" s="23">
        <f>D73-D72</f>
        <v>10</v>
      </c>
      <c r="E74" s="346" t="s">
        <v>160</v>
      </c>
      <c r="F74" s="347"/>
    </row>
    <row r="75" spans="1:13" s="54" customFormat="1" ht="15" customHeight="1">
      <c r="A75" s="19"/>
      <c r="B75" s="19"/>
      <c r="C75" s="20"/>
      <c r="D75" s="23"/>
      <c r="E75" s="96"/>
      <c r="F75" s="97"/>
    </row>
    <row r="76" spans="1:13" s="54" customFormat="1">
      <c r="A76" s="368" t="s">
        <v>341</v>
      </c>
      <c r="B76" s="368"/>
      <c r="C76" s="368"/>
      <c r="D76" s="369" t="s">
        <v>342</v>
      </c>
      <c r="E76" s="369"/>
      <c r="F76" s="98"/>
    </row>
    <row r="77" spans="1:13" s="54" customFormat="1">
      <c r="A77" s="87" t="s">
        <v>343</v>
      </c>
      <c r="B77" s="87">
        <v>0.44700000000000001</v>
      </c>
      <c r="C77" s="87" t="s">
        <v>344</v>
      </c>
      <c r="D77" s="99">
        <f>B77*$D$74</f>
        <v>4.47</v>
      </c>
      <c r="E77" s="1" t="s">
        <v>345</v>
      </c>
      <c r="F77" s="98"/>
    </row>
    <row r="78" spans="1:13" s="54" customFormat="1">
      <c r="A78" s="87" t="s">
        <v>346</v>
      </c>
      <c r="B78" s="87">
        <v>2.3109999999999999</v>
      </c>
      <c r="C78" s="87" t="s">
        <v>344</v>
      </c>
      <c r="D78" s="99">
        <f>B78*$D$74</f>
        <v>23.11</v>
      </c>
      <c r="E78" s="1" t="s">
        <v>345</v>
      </c>
      <c r="F78" s="98"/>
    </row>
    <row r="79" spans="1:13" s="54" customFormat="1">
      <c r="A79" s="87" t="s">
        <v>347</v>
      </c>
      <c r="B79" s="87">
        <v>8.6129999999999995</v>
      </c>
      <c r="C79" s="87" t="s">
        <v>344</v>
      </c>
      <c r="D79" s="99">
        <f>B79*$D$74</f>
        <v>86.13</v>
      </c>
      <c r="E79" s="1" t="s">
        <v>345</v>
      </c>
      <c r="F79" s="98"/>
    </row>
    <row r="80" spans="1:13" s="54" customFormat="1" ht="60">
      <c r="A80" s="87" t="s">
        <v>348</v>
      </c>
      <c r="B80" s="87">
        <v>0.20200000000000001</v>
      </c>
      <c r="C80" s="17" t="s">
        <v>349</v>
      </c>
      <c r="D80" s="99">
        <f>B80*$D$74</f>
        <v>2.02</v>
      </c>
      <c r="E80" s="1" t="s">
        <v>345</v>
      </c>
      <c r="F80" s="98"/>
    </row>
    <row r="81" spans="1:17" s="54" customFormat="1" ht="105">
      <c r="A81" s="87" t="s">
        <v>350</v>
      </c>
      <c r="B81" s="100">
        <f>B78*3.667</f>
        <v>8.474437</v>
      </c>
      <c r="C81" s="78" t="s">
        <v>351</v>
      </c>
      <c r="D81" s="99">
        <f>B81*$D$74</f>
        <v>84.744370000000004</v>
      </c>
      <c r="E81" s="1" t="s">
        <v>345</v>
      </c>
      <c r="F81" s="98"/>
    </row>
    <row r="82" spans="1:17" s="54" customFormat="1">
      <c r="A82" s="372" t="s">
        <v>352</v>
      </c>
      <c r="B82" s="373"/>
      <c r="C82" s="373"/>
      <c r="D82" s="373"/>
      <c r="E82" s="373"/>
    </row>
    <row r="83" spans="1:17" s="54" customFormat="1"/>
    <row r="84" spans="1:17" s="54" customFormat="1" ht="15.75" thickBot="1">
      <c r="A84" s="353" t="s">
        <v>637</v>
      </c>
      <c r="B84" s="353"/>
      <c r="C84" s="353"/>
      <c r="D84" s="353"/>
      <c r="E84" s="353"/>
      <c r="F84" s="353"/>
      <c r="G84" s="353"/>
      <c r="I84" s="353" t="s">
        <v>638</v>
      </c>
      <c r="J84" s="353"/>
      <c r="K84" s="353"/>
      <c r="L84" s="353"/>
      <c r="M84" s="242"/>
      <c r="N84" s="242"/>
      <c r="O84" s="242"/>
    </row>
    <row r="85" spans="1:17" s="54" customFormat="1" ht="90">
      <c r="A85" s="61" t="s">
        <v>25</v>
      </c>
      <c r="B85" s="61" t="s">
        <v>26</v>
      </c>
      <c r="C85" s="61" t="s">
        <v>353</v>
      </c>
      <c r="D85" s="61" t="s">
        <v>358</v>
      </c>
      <c r="E85" s="61" t="s">
        <v>359</v>
      </c>
      <c r="F85" s="61" t="s">
        <v>27</v>
      </c>
      <c r="G85" s="61" t="s">
        <v>28</v>
      </c>
      <c r="I85" s="61" t="s">
        <v>25</v>
      </c>
      <c r="J85" s="61" t="s">
        <v>26</v>
      </c>
      <c r="K85" s="61" t="s">
        <v>353</v>
      </c>
      <c r="L85" s="61" t="s">
        <v>665</v>
      </c>
      <c r="M85" s="61" t="s">
        <v>663</v>
      </c>
      <c r="N85" s="61" t="s">
        <v>664</v>
      </c>
      <c r="O85" s="61" t="s">
        <v>359</v>
      </c>
      <c r="P85" s="61" t="s">
        <v>27</v>
      </c>
      <c r="Q85" s="61" t="s">
        <v>28</v>
      </c>
    </row>
    <row r="86" spans="1:17" s="54" customFormat="1">
      <c r="A86" s="54">
        <v>2018</v>
      </c>
      <c r="C86" s="62">
        <f>'Travel Time Savings'!F15*$D$65</f>
        <v>0</v>
      </c>
      <c r="D86" s="62">
        <f>((((C86*$D$56)*$D$57)*$D$58)*$D$59)</f>
        <v>0</v>
      </c>
      <c r="E86" s="101">
        <f>$D$69</f>
        <v>1</v>
      </c>
      <c r="F86" s="65">
        <f t="shared" ref="F86" si="10">D86*E86</f>
        <v>0</v>
      </c>
      <c r="G86" s="102">
        <f>F86/Discount!B3</f>
        <v>0</v>
      </c>
      <c r="I86" s="54">
        <v>2018</v>
      </c>
      <c r="K86" s="62">
        <f>'Travel Time Savings'!F15*$D$66</f>
        <v>0</v>
      </c>
      <c r="L86" s="103">
        <f t="shared" ref="L86" si="11">((K86*$D$81)*$D$59)</f>
        <v>0</v>
      </c>
      <c r="M86" s="103">
        <v>0</v>
      </c>
      <c r="N86" s="239">
        <f>L86+M86</f>
        <v>0</v>
      </c>
      <c r="O86" s="101">
        <f>$D$69</f>
        <v>1</v>
      </c>
      <c r="P86" s="65">
        <f>N86*O86</f>
        <v>0</v>
      </c>
      <c r="Q86" s="102">
        <f>P86/Discount!B3</f>
        <v>0</v>
      </c>
    </row>
    <row r="87" spans="1:17" s="54" customFormat="1">
      <c r="A87" s="54">
        <v>2019</v>
      </c>
      <c r="C87" s="62">
        <f>'Travel Time Savings'!F16*$D$65</f>
        <v>0</v>
      </c>
      <c r="D87" s="62">
        <f t="shared" ref="D87:D126" si="12">((((C87*$D$56)*$D$57)*$D$58)*$D$59)</f>
        <v>0</v>
      </c>
      <c r="E87" s="101">
        <f t="shared" ref="E87:E126" si="13">$D$69</f>
        <v>1</v>
      </c>
      <c r="F87" s="65">
        <f t="shared" ref="F87:F126" si="14">D87*E87</f>
        <v>0</v>
      </c>
      <c r="G87" s="102">
        <f>F87/Discount!B4</f>
        <v>0</v>
      </c>
      <c r="I87" s="54">
        <v>2019</v>
      </c>
      <c r="K87" s="62">
        <f>'Travel Time Savings'!F16*$D$66</f>
        <v>0</v>
      </c>
      <c r="L87" s="103">
        <f t="shared" ref="L87:L126" si="15">((K87*$D$81)*$D$59)</f>
        <v>0</v>
      </c>
      <c r="M87" s="103">
        <v>0</v>
      </c>
      <c r="N87" s="239">
        <f t="shared" ref="N87:N126" si="16">L87+M87</f>
        <v>0</v>
      </c>
      <c r="O87" s="101">
        <f t="shared" ref="O87:O126" si="17">$D$69</f>
        <v>1</v>
      </c>
      <c r="P87" s="65">
        <f t="shared" ref="P87:P126" si="18">N87*O87</f>
        <v>0</v>
      </c>
      <c r="Q87" s="102">
        <f>P87/Discount!B4</f>
        <v>0</v>
      </c>
    </row>
    <row r="88" spans="1:17" s="54" customFormat="1">
      <c r="A88" s="54">
        <v>2020</v>
      </c>
      <c r="C88" s="62">
        <f>'Travel Time Savings'!F17*$D$65</f>
        <v>0</v>
      </c>
      <c r="D88" s="62">
        <f t="shared" si="12"/>
        <v>0</v>
      </c>
      <c r="E88" s="101">
        <f t="shared" si="13"/>
        <v>1</v>
      </c>
      <c r="F88" s="65">
        <f t="shared" si="14"/>
        <v>0</v>
      </c>
      <c r="G88" s="102">
        <f>F88/Discount!B5</f>
        <v>0</v>
      </c>
      <c r="I88" s="54">
        <v>2020</v>
      </c>
      <c r="K88" s="62">
        <f>'Travel Time Savings'!F17*$D$66</f>
        <v>0</v>
      </c>
      <c r="L88" s="103">
        <f t="shared" si="15"/>
        <v>0</v>
      </c>
      <c r="M88" s="103">
        <v>0</v>
      </c>
      <c r="N88" s="239">
        <f t="shared" si="16"/>
        <v>0</v>
      </c>
      <c r="O88" s="101">
        <f t="shared" si="17"/>
        <v>1</v>
      </c>
      <c r="P88" s="65">
        <f t="shared" si="18"/>
        <v>0</v>
      </c>
      <c r="Q88" s="102">
        <f>P88/Discount!B5</f>
        <v>0</v>
      </c>
    </row>
    <row r="89" spans="1:17" s="54" customFormat="1">
      <c r="A89" s="54">
        <v>2021</v>
      </c>
      <c r="C89" s="62">
        <f>'Travel Time Savings'!F18*$D$65</f>
        <v>0</v>
      </c>
      <c r="D89" s="62">
        <f t="shared" si="12"/>
        <v>0</v>
      </c>
      <c r="E89" s="101">
        <f t="shared" si="13"/>
        <v>1</v>
      </c>
      <c r="F89" s="65">
        <f t="shared" si="14"/>
        <v>0</v>
      </c>
      <c r="G89" s="102">
        <f>F89/Discount!B6</f>
        <v>0</v>
      </c>
      <c r="I89" s="54">
        <v>2021</v>
      </c>
      <c r="K89" s="62">
        <f>'Travel Time Savings'!F18*$D$66</f>
        <v>0</v>
      </c>
      <c r="L89" s="103">
        <f t="shared" si="15"/>
        <v>0</v>
      </c>
      <c r="M89" s="103">
        <v>0</v>
      </c>
      <c r="N89" s="239">
        <f t="shared" si="16"/>
        <v>0</v>
      </c>
      <c r="O89" s="101">
        <f t="shared" si="17"/>
        <v>1</v>
      </c>
      <c r="P89" s="65">
        <f t="shared" si="18"/>
        <v>0</v>
      </c>
      <c r="Q89" s="102">
        <f>P89/Discount!B6</f>
        <v>0</v>
      </c>
    </row>
    <row r="90" spans="1:17" s="54" customFormat="1">
      <c r="A90" s="54">
        <v>2022</v>
      </c>
      <c r="C90" s="62">
        <f>'Travel Time Savings'!F19*$D$65</f>
        <v>0</v>
      </c>
      <c r="D90" s="62">
        <f t="shared" si="12"/>
        <v>0</v>
      </c>
      <c r="E90" s="101">
        <f t="shared" si="13"/>
        <v>1</v>
      </c>
      <c r="F90" s="65">
        <f t="shared" si="14"/>
        <v>0</v>
      </c>
      <c r="G90" s="102">
        <f>F90/Discount!B7</f>
        <v>0</v>
      </c>
      <c r="I90" s="54">
        <v>2022</v>
      </c>
      <c r="K90" s="62">
        <f>'Travel Time Savings'!F19*$D$66</f>
        <v>0</v>
      </c>
      <c r="L90" s="103">
        <f t="shared" si="15"/>
        <v>0</v>
      </c>
      <c r="M90" s="103">
        <v>0</v>
      </c>
      <c r="N90" s="239">
        <f t="shared" si="16"/>
        <v>0</v>
      </c>
      <c r="O90" s="101">
        <f t="shared" si="17"/>
        <v>1</v>
      </c>
      <c r="P90" s="65">
        <f t="shared" si="18"/>
        <v>0</v>
      </c>
      <c r="Q90" s="102">
        <f>P90/Discount!B7</f>
        <v>0</v>
      </c>
    </row>
    <row r="91" spans="1:17" s="54" customFormat="1">
      <c r="A91" s="54">
        <v>2023</v>
      </c>
      <c r="C91" s="62">
        <f>'Travel Time Savings'!F20*$D$65</f>
        <v>0</v>
      </c>
      <c r="D91" s="62">
        <f t="shared" si="12"/>
        <v>0</v>
      </c>
      <c r="E91" s="101">
        <f t="shared" si="13"/>
        <v>1</v>
      </c>
      <c r="F91" s="65">
        <f t="shared" si="14"/>
        <v>0</v>
      </c>
      <c r="G91" s="102">
        <f>F91/Discount!B8</f>
        <v>0</v>
      </c>
      <c r="I91" s="54">
        <v>2023</v>
      </c>
      <c r="K91" s="62">
        <f>'Travel Time Savings'!F20*$D$66</f>
        <v>0</v>
      </c>
      <c r="L91" s="103">
        <f t="shared" si="15"/>
        <v>0</v>
      </c>
      <c r="M91" s="103">
        <v>0</v>
      </c>
      <c r="N91" s="239">
        <f t="shared" si="16"/>
        <v>0</v>
      </c>
      <c r="O91" s="101">
        <f t="shared" si="17"/>
        <v>1</v>
      </c>
      <c r="P91" s="65">
        <f t="shared" si="18"/>
        <v>0</v>
      </c>
      <c r="Q91" s="102">
        <f>P91/Discount!B8</f>
        <v>0</v>
      </c>
    </row>
    <row r="92" spans="1:17" s="54" customFormat="1">
      <c r="A92" s="54">
        <v>2024</v>
      </c>
      <c r="C92" s="62">
        <f>'Travel Time Savings'!F21*$D$65</f>
        <v>0</v>
      </c>
      <c r="D92" s="62">
        <f t="shared" si="12"/>
        <v>0</v>
      </c>
      <c r="E92" s="101">
        <f t="shared" si="13"/>
        <v>1</v>
      </c>
      <c r="F92" s="65">
        <f t="shared" si="14"/>
        <v>0</v>
      </c>
      <c r="G92" s="102">
        <f>F92/Discount!B9</f>
        <v>0</v>
      </c>
      <c r="I92" s="54">
        <v>2024</v>
      </c>
      <c r="K92" s="62">
        <f>'Travel Time Savings'!F21*$D$66</f>
        <v>0</v>
      </c>
      <c r="L92" s="103">
        <f t="shared" si="15"/>
        <v>0</v>
      </c>
      <c r="M92" s="103">
        <v>0</v>
      </c>
      <c r="N92" s="239">
        <f t="shared" si="16"/>
        <v>0</v>
      </c>
      <c r="O92" s="101">
        <f t="shared" si="17"/>
        <v>1</v>
      </c>
      <c r="P92" s="65">
        <f t="shared" si="18"/>
        <v>0</v>
      </c>
      <c r="Q92" s="102">
        <f>P92/Discount!B9</f>
        <v>0</v>
      </c>
    </row>
    <row r="93" spans="1:17" s="54" customFormat="1">
      <c r="A93" s="54">
        <v>2025</v>
      </c>
      <c r="C93" s="62">
        <f>'Travel Time Savings'!F22*$D$65</f>
        <v>0</v>
      </c>
      <c r="D93" s="62">
        <f t="shared" si="12"/>
        <v>0</v>
      </c>
      <c r="E93" s="101">
        <f t="shared" si="13"/>
        <v>1</v>
      </c>
      <c r="F93" s="65">
        <f t="shared" si="14"/>
        <v>0</v>
      </c>
      <c r="G93" s="102">
        <f>F93/Discount!B10</f>
        <v>0</v>
      </c>
      <c r="I93" s="54">
        <v>2025</v>
      </c>
      <c r="K93" s="62">
        <f>'Travel Time Savings'!F22*$D$66</f>
        <v>0</v>
      </c>
      <c r="L93" s="103">
        <f t="shared" si="15"/>
        <v>0</v>
      </c>
      <c r="M93" s="103">
        <v>0</v>
      </c>
      <c r="N93" s="239">
        <f t="shared" si="16"/>
        <v>0</v>
      </c>
      <c r="O93" s="101">
        <f t="shared" si="17"/>
        <v>1</v>
      </c>
      <c r="P93" s="65">
        <f t="shared" si="18"/>
        <v>0</v>
      </c>
      <c r="Q93" s="102">
        <f>P93/Discount!B10</f>
        <v>0</v>
      </c>
    </row>
    <row r="94" spans="1:17" s="54" customFormat="1">
      <c r="A94" s="54">
        <v>2026</v>
      </c>
      <c r="C94" s="62">
        <f>'Travel Time Savings'!F23*$D$65</f>
        <v>0</v>
      </c>
      <c r="D94" s="62">
        <f t="shared" si="12"/>
        <v>0</v>
      </c>
      <c r="E94" s="101">
        <f t="shared" si="13"/>
        <v>1</v>
      </c>
      <c r="F94" s="65">
        <f t="shared" si="14"/>
        <v>0</v>
      </c>
      <c r="G94" s="102">
        <f>F94/Discount!B11</f>
        <v>0</v>
      </c>
      <c r="I94" s="54">
        <v>2026</v>
      </c>
      <c r="K94" s="62">
        <f>'Travel Time Savings'!F23*$D$66</f>
        <v>0</v>
      </c>
      <c r="L94" s="103">
        <f t="shared" si="15"/>
        <v>0</v>
      </c>
      <c r="M94" s="240">
        <f>(J68*$D$59)</f>
        <v>0.15989567731599999</v>
      </c>
      <c r="N94" s="239">
        <f t="shared" si="16"/>
        <v>0.15989567731599999</v>
      </c>
      <c r="O94" s="101">
        <f t="shared" si="17"/>
        <v>1</v>
      </c>
      <c r="P94" s="65">
        <f t="shared" si="18"/>
        <v>0.15989567731599999</v>
      </c>
      <c r="Q94" s="102">
        <f>P94/Discount!B11</f>
        <v>9.3060739978505488E-2</v>
      </c>
    </row>
    <row r="95" spans="1:17" s="54" customFormat="1">
      <c r="A95" s="54">
        <v>2027</v>
      </c>
      <c r="C95" s="62">
        <f>'Travel Time Savings'!F24*$D$65</f>
        <v>0</v>
      </c>
      <c r="D95" s="62">
        <f t="shared" si="12"/>
        <v>0</v>
      </c>
      <c r="E95" s="101">
        <f t="shared" si="13"/>
        <v>1</v>
      </c>
      <c r="F95" s="65">
        <f t="shared" si="14"/>
        <v>0</v>
      </c>
      <c r="G95" s="102">
        <f>F95/Discount!B12</f>
        <v>0</v>
      </c>
      <c r="I95" s="54">
        <v>2027</v>
      </c>
      <c r="K95" s="62">
        <f>'Travel Time Savings'!F24*$D$66</f>
        <v>0</v>
      </c>
      <c r="L95" s="103">
        <f t="shared" si="15"/>
        <v>0</v>
      </c>
      <c r="M95" s="240">
        <f>(K68*$D$59)</f>
        <v>0.15989567731599999</v>
      </c>
      <c r="N95" s="239">
        <f t="shared" si="16"/>
        <v>0.15989567731599999</v>
      </c>
      <c r="O95" s="101">
        <f t="shared" si="17"/>
        <v>1</v>
      </c>
      <c r="P95" s="65">
        <f t="shared" si="18"/>
        <v>0.15989567731599999</v>
      </c>
      <c r="Q95" s="102">
        <f>P95/Discount!B12</f>
        <v>8.6972654185519138E-2</v>
      </c>
    </row>
    <row r="96" spans="1:17" s="54" customFormat="1">
      <c r="A96" s="54">
        <v>2028</v>
      </c>
      <c r="C96" s="62">
        <f>'Travel Time Savings'!F25*$D$65</f>
        <v>0</v>
      </c>
      <c r="D96" s="62">
        <f t="shared" si="12"/>
        <v>0</v>
      </c>
      <c r="E96" s="101">
        <f t="shared" si="13"/>
        <v>1</v>
      </c>
      <c r="F96" s="65">
        <f t="shared" si="14"/>
        <v>0</v>
      </c>
      <c r="G96" s="102">
        <f>F96/Discount!B13</f>
        <v>0</v>
      </c>
      <c r="I96" s="54">
        <v>2028</v>
      </c>
      <c r="K96" s="62">
        <f>'Travel Time Savings'!F25*$D$66</f>
        <v>0</v>
      </c>
      <c r="L96" s="103">
        <f t="shared" si="15"/>
        <v>0</v>
      </c>
      <c r="M96" s="240">
        <f>(L68*$D$59)</f>
        <v>0.15989567731599999</v>
      </c>
      <c r="N96" s="239">
        <f t="shared" si="16"/>
        <v>0.15989567731599999</v>
      </c>
      <c r="O96" s="101">
        <f t="shared" si="17"/>
        <v>1</v>
      </c>
      <c r="P96" s="65">
        <f t="shared" si="18"/>
        <v>0.15989567731599999</v>
      </c>
      <c r="Q96" s="102">
        <f>P96/Discount!B13</f>
        <v>8.1282854378989855E-2</v>
      </c>
    </row>
    <row r="97" spans="1:17" s="54" customFormat="1">
      <c r="A97" s="54">
        <v>2029</v>
      </c>
      <c r="B97" s="54">
        <v>1</v>
      </c>
      <c r="C97" s="62">
        <f>'Travel Time Savings'!F26*$D$65</f>
        <v>24382.666024570764</v>
      </c>
      <c r="D97" s="62">
        <f t="shared" si="12"/>
        <v>73.702449016639548</v>
      </c>
      <c r="E97" s="101">
        <f t="shared" si="13"/>
        <v>1</v>
      </c>
      <c r="F97" s="65">
        <f t="shared" si="14"/>
        <v>73.702449016639548</v>
      </c>
      <c r="G97" s="102">
        <f>F97/Discount!B14</f>
        <v>35.015502603928823</v>
      </c>
      <c r="I97" s="54">
        <v>2029</v>
      </c>
      <c r="J97" s="54">
        <v>1</v>
      </c>
      <c r="K97" s="62">
        <f>'Travel Time Savings'!F26*$D$66</f>
        <v>4135.0720158628783</v>
      </c>
      <c r="L97" s="103">
        <f t="shared" si="15"/>
        <v>0.35042407288892963</v>
      </c>
      <c r="M97" s="103">
        <v>0</v>
      </c>
      <c r="N97" s="239">
        <f t="shared" si="16"/>
        <v>0.35042407288892963</v>
      </c>
      <c r="O97" s="101">
        <f t="shared" si="17"/>
        <v>1</v>
      </c>
      <c r="P97" s="65">
        <f t="shared" si="18"/>
        <v>0.35042407288892963</v>
      </c>
      <c r="Q97" s="102">
        <f>P97/Discount!B14</f>
        <v>0.16648395271032906</v>
      </c>
    </row>
    <row r="98" spans="1:17" s="54" customFormat="1">
      <c r="A98" s="54">
        <v>2030</v>
      </c>
      <c r="B98" s="54">
        <v>2</v>
      </c>
      <c r="C98" s="62">
        <f>'Travel Time Savings'!F27*$D$65</f>
        <v>24814.239213205685</v>
      </c>
      <c r="D98" s="62">
        <f t="shared" si="12"/>
        <v>75.006982364234119</v>
      </c>
      <c r="E98" s="101">
        <f t="shared" si="13"/>
        <v>1</v>
      </c>
      <c r="F98" s="65">
        <f t="shared" si="14"/>
        <v>75.006982364234119</v>
      </c>
      <c r="G98" s="102">
        <f>F98/Discount!B15</f>
        <v>33.303997196278871</v>
      </c>
      <c r="I98" s="54">
        <v>2030</v>
      </c>
      <c r="J98" s="54">
        <v>2</v>
      </c>
      <c r="K98" s="62">
        <f>'Travel Time Savings'!F27*$D$66</f>
        <v>4208.2627905436539</v>
      </c>
      <c r="L98" s="103">
        <f t="shared" si="15"/>
        <v>0.35662657897906386</v>
      </c>
      <c r="M98" s="103">
        <v>0</v>
      </c>
      <c r="N98" s="239">
        <f t="shared" si="16"/>
        <v>0.35662657897906386</v>
      </c>
      <c r="O98" s="101">
        <f t="shared" si="17"/>
        <v>1</v>
      </c>
      <c r="P98" s="65">
        <f t="shared" si="18"/>
        <v>0.35662657897906386</v>
      </c>
      <c r="Q98" s="102">
        <f>P98/Discount!B15</f>
        <v>0.15834646604981498</v>
      </c>
    </row>
    <row r="99" spans="1:17" s="54" customFormat="1">
      <c r="A99" s="54">
        <v>2031</v>
      </c>
      <c r="B99" s="54">
        <v>3</v>
      </c>
      <c r="C99" s="62">
        <f>'Travel Time Savings'!F28*$D$65</f>
        <v>25253.451247279438</v>
      </c>
      <c r="D99" s="62">
        <f t="shared" si="12"/>
        <v>76.334605952081105</v>
      </c>
      <c r="E99" s="101">
        <f t="shared" si="13"/>
        <v>1</v>
      </c>
      <c r="F99" s="65">
        <f t="shared" si="14"/>
        <v>76.334605952081105</v>
      </c>
      <c r="G99" s="102">
        <f>F99/Discount!B16</f>
        <v>31.676147613694415</v>
      </c>
      <c r="I99" s="54">
        <v>2031</v>
      </c>
      <c r="J99" s="54">
        <v>3</v>
      </c>
      <c r="K99" s="62">
        <f>'Travel Time Savings'!F28*$D$66</f>
        <v>4282.7490419362784</v>
      </c>
      <c r="L99" s="103">
        <f t="shared" si="15"/>
        <v>0.36293886942699349</v>
      </c>
      <c r="M99" s="103">
        <v>0</v>
      </c>
      <c r="N99" s="239">
        <f t="shared" si="16"/>
        <v>0.36293886942699349</v>
      </c>
      <c r="O99" s="101">
        <f t="shared" si="17"/>
        <v>1</v>
      </c>
      <c r="P99" s="65">
        <f t="shared" si="18"/>
        <v>0.36293886942699349</v>
      </c>
      <c r="Q99" s="102">
        <f>P99/Discount!B16</f>
        <v>0.1506067275690624</v>
      </c>
    </row>
    <row r="100" spans="1:17" s="54" customFormat="1">
      <c r="A100" s="54">
        <v>2032</v>
      </c>
      <c r="B100" s="54">
        <v>4</v>
      </c>
      <c r="C100" s="62">
        <f>'Travel Time Savings'!F29*$D$65</f>
        <v>25700.437334356269</v>
      </c>
      <c r="D100" s="62">
        <f t="shared" si="12"/>
        <v>77.685728477432889</v>
      </c>
      <c r="E100" s="101">
        <f t="shared" si="13"/>
        <v>1</v>
      </c>
      <c r="F100" s="65">
        <f t="shared" si="14"/>
        <v>77.685728477432889</v>
      </c>
      <c r="G100" s="102">
        <f>F100/Discount!B17</f>
        <v>30.127864884539051</v>
      </c>
      <c r="I100" s="54">
        <v>2032</v>
      </c>
      <c r="J100" s="54">
        <v>4</v>
      </c>
      <c r="K100" s="62">
        <f>'Travel Time Savings'!F29*$D$66</f>
        <v>4358.5536999785481</v>
      </c>
      <c r="L100" s="103">
        <f t="shared" si="15"/>
        <v>0.3693628874158511</v>
      </c>
      <c r="M100" s="103">
        <v>0</v>
      </c>
      <c r="N100" s="239">
        <f t="shared" si="16"/>
        <v>0.3693628874158511</v>
      </c>
      <c r="O100" s="101">
        <f t="shared" si="17"/>
        <v>1</v>
      </c>
      <c r="P100" s="65">
        <f t="shared" si="18"/>
        <v>0.3693628874158511</v>
      </c>
      <c r="Q100" s="102">
        <f>P100/Discount!B17</f>
        <v>0.14324529593180818</v>
      </c>
    </row>
    <row r="101" spans="1:17" s="54" customFormat="1">
      <c r="A101" s="54">
        <v>2033</v>
      </c>
      <c r="B101" s="54">
        <v>5</v>
      </c>
      <c r="C101" s="62">
        <f>'Travel Time Savings'!F30*$D$65</f>
        <v>26155.335075174407</v>
      </c>
      <c r="D101" s="62">
        <f t="shared" si="12"/>
        <v>79.060765871483554</v>
      </c>
      <c r="E101" s="101">
        <f t="shared" si="13"/>
        <v>1</v>
      </c>
      <c r="F101" s="65">
        <f t="shared" si="14"/>
        <v>79.060765871483554</v>
      </c>
      <c r="G101" s="102">
        <f>F101/Discount!B18</f>
        <v>28.655259899995727</v>
      </c>
      <c r="I101" s="54">
        <v>2033</v>
      </c>
      <c r="J101" s="54">
        <v>5</v>
      </c>
      <c r="K101" s="62">
        <f>'Travel Time Savings'!F30*$D$66</f>
        <v>4435.7001004681742</v>
      </c>
      <c r="L101" s="103">
        <f t="shared" si="15"/>
        <v>0.37590061052311208</v>
      </c>
      <c r="M101" s="103">
        <v>0</v>
      </c>
      <c r="N101" s="239">
        <f t="shared" si="16"/>
        <v>0.37590061052311208</v>
      </c>
      <c r="O101" s="101">
        <f t="shared" si="17"/>
        <v>1</v>
      </c>
      <c r="P101" s="65">
        <f t="shared" si="18"/>
        <v>0.37590061052311208</v>
      </c>
      <c r="Q101" s="102">
        <f>P101/Discount!B18</f>
        <v>0.13624368006523488</v>
      </c>
    </row>
    <row r="102" spans="1:17" s="54" customFormat="1">
      <c r="A102" s="54">
        <v>2034</v>
      </c>
      <c r="B102" s="54">
        <v>6</v>
      </c>
      <c r="C102" s="62">
        <f>'Travel Time Savings'!F31*$D$65</f>
        <v>26618.284506004966</v>
      </c>
      <c r="D102" s="62">
        <f t="shared" si="12"/>
        <v>80.460141427408715</v>
      </c>
      <c r="E102" s="101">
        <f t="shared" si="13"/>
        <v>1</v>
      </c>
      <c r="F102" s="65">
        <f t="shared" si="14"/>
        <v>80.460141427408715</v>
      </c>
      <c r="G102" s="102">
        <f>F102/Discount!B19</f>
        <v>27.254633645070673</v>
      </c>
      <c r="I102" s="54">
        <v>2034</v>
      </c>
      <c r="J102" s="54">
        <v>6</v>
      </c>
      <c r="K102" s="62">
        <f>'Travel Time Savings'!F31*$D$66</f>
        <v>4514.2119922464553</v>
      </c>
      <c r="L102" s="103">
        <f t="shared" si="15"/>
        <v>0.38255405132937076</v>
      </c>
      <c r="M102" s="103">
        <v>0</v>
      </c>
      <c r="N102" s="239">
        <f t="shared" si="16"/>
        <v>0.38255405132937076</v>
      </c>
      <c r="O102" s="101">
        <f t="shared" si="17"/>
        <v>1</v>
      </c>
      <c r="P102" s="65">
        <f t="shared" si="18"/>
        <v>0.38255405132937076</v>
      </c>
      <c r="Q102" s="102">
        <f>P102/Discount!B19</f>
        <v>0.12958429271251345</v>
      </c>
    </row>
    <row r="103" spans="1:17" s="54" customFormat="1">
      <c r="A103" s="54">
        <v>2035</v>
      </c>
      <c r="B103" s="54">
        <v>7</v>
      </c>
      <c r="C103" s="62">
        <f>'Travel Time Savings'!F32*$D$65</f>
        <v>27089.428141761255</v>
      </c>
      <c r="D103" s="62">
        <f t="shared" si="12"/>
        <v>81.884285930673855</v>
      </c>
      <c r="E103" s="101">
        <f t="shared" si="13"/>
        <v>1</v>
      </c>
      <c r="F103" s="65">
        <f t="shared" si="14"/>
        <v>81.884285930673855</v>
      </c>
      <c r="G103" s="102">
        <f>F103/Discount!B20</f>
        <v>25.922467907091988</v>
      </c>
      <c r="I103" s="54">
        <v>2035</v>
      </c>
      <c r="J103" s="54">
        <v>7</v>
      </c>
      <c r="K103" s="62">
        <f>'Travel Time Savings'!F32*$D$66</f>
        <v>4594.1135445092186</v>
      </c>
      <c r="L103" s="103">
        <f t="shared" si="15"/>
        <v>0.38932525803790069</v>
      </c>
      <c r="M103" s="103">
        <v>0</v>
      </c>
      <c r="N103" s="239">
        <f t="shared" si="16"/>
        <v>0.38932525803790069</v>
      </c>
      <c r="O103" s="101">
        <f t="shared" si="17"/>
        <v>1</v>
      </c>
      <c r="P103" s="65">
        <f t="shared" si="18"/>
        <v>0.38932525803790069</v>
      </c>
      <c r="Q103" s="102">
        <f>P103/Discount!B20</f>
        <v>0.12325040625563081</v>
      </c>
    </row>
    <row r="104" spans="1:17" s="54" customFormat="1">
      <c r="A104" s="54">
        <v>2036</v>
      </c>
      <c r="B104" s="54">
        <v>8</v>
      </c>
      <c r="C104" s="62">
        <f>'Travel Time Savings'!F33*$D$65</f>
        <v>27568.911019870422</v>
      </c>
      <c r="D104" s="62">
        <f t="shared" si="12"/>
        <v>83.333637791646765</v>
      </c>
      <c r="E104" s="101">
        <f t="shared" si="13"/>
        <v>1</v>
      </c>
      <c r="F104" s="65">
        <f t="shared" si="14"/>
        <v>83.333637791646765</v>
      </c>
      <c r="G104" s="102">
        <f>F104/Discount!B21</f>
        <v>24.655416438362156</v>
      </c>
      <c r="I104" s="54">
        <v>2036</v>
      </c>
      <c r="J104" s="54">
        <v>8</v>
      </c>
      <c r="K104" s="62">
        <f>'Travel Time Savings'!F33*$D$66</f>
        <v>4675.4293542470305</v>
      </c>
      <c r="L104" s="103">
        <f t="shared" si="15"/>
        <v>0.39621631510517141</v>
      </c>
      <c r="M104" s="103">
        <v>0</v>
      </c>
      <c r="N104" s="239">
        <f t="shared" si="16"/>
        <v>0.39621631510517141</v>
      </c>
      <c r="O104" s="101">
        <f t="shared" si="17"/>
        <v>1</v>
      </c>
      <c r="P104" s="65">
        <f t="shared" si="18"/>
        <v>0.39621631510517141</v>
      </c>
      <c r="Q104" s="102">
        <f>P104/Discount!B21</f>
        <v>0.11722611069752845</v>
      </c>
    </row>
    <row r="105" spans="1:17" s="54" customFormat="1">
      <c r="A105" s="54">
        <v>2037</v>
      </c>
      <c r="B105" s="54">
        <v>9</v>
      </c>
      <c r="C105" s="62">
        <f>'Travel Time Savings'!F34*$D$65</f>
        <v>28056.880744922142</v>
      </c>
      <c r="D105" s="62">
        <f t="shared" si="12"/>
        <v>84.80864318055896</v>
      </c>
      <c r="E105" s="101">
        <f t="shared" si="13"/>
        <v>1</v>
      </c>
      <c r="F105" s="65">
        <f t="shared" si="14"/>
        <v>84.80864318055896</v>
      </c>
      <c r="G105" s="102">
        <f>F105/Discount!B22</f>
        <v>23.450296550767458</v>
      </c>
      <c r="I105" s="54">
        <v>2037</v>
      </c>
      <c r="J105" s="54">
        <v>9</v>
      </c>
      <c r="K105" s="62">
        <f>'Travel Time Savings'!F34*$D$66</f>
        <v>4758.1844538172054</v>
      </c>
      <c r="L105" s="103">
        <f t="shared" si="15"/>
        <v>0.40322934388253318</v>
      </c>
      <c r="M105" s="103">
        <v>0</v>
      </c>
      <c r="N105" s="239">
        <f t="shared" si="16"/>
        <v>0.40322934388253318</v>
      </c>
      <c r="O105" s="101">
        <f t="shared" si="17"/>
        <v>1</v>
      </c>
      <c r="P105" s="65">
        <f t="shared" si="18"/>
        <v>0.40322934388253318</v>
      </c>
      <c r="Q105" s="102">
        <f>P105/Discount!B22</f>
        <v>0.11149627369801379</v>
      </c>
    </row>
    <row r="106" spans="1:17" s="54" customFormat="1">
      <c r="A106" s="54">
        <v>2038</v>
      </c>
      <c r="B106" s="54">
        <v>10</v>
      </c>
      <c r="C106" s="62">
        <f>'Travel Time Savings'!F35*$D$65</f>
        <v>28553.487534107251</v>
      </c>
      <c r="D106" s="62">
        <f t="shared" si="12"/>
        <v>86.309756164854804</v>
      </c>
      <c r="E106" s="101">
        <f t="shared" si="13"/>
        <v>1</v>
      </c>
      <c r="F106" s="65">
        <f t="shared" si="14"/>
        <v>86.309756164854804</v>
      </c>
      <c r="G106" s="102">
        <f>F106/Discount!B23</f>
        <v>22.304081121229935</v>
      </c>
      <c r="I106" s="54">
        <v>2038</v>
      </c>
      <c r="J106" s="54">
        <v>10</v>
      </c>
      <c r="K106" s="62">
        <f>'Travel Time Savings'!F35*$D$66</f>
        <v>4842.4043186497674</v>
      </c>
      <c r="L106" s="103">
        <f t="shared" si="15"/>
        <v>0.41036650326925378</v>
      </c>
      <c r="M106" s="103">
        <v>0</v>
      </c>
      <c r="N106" s="239">
        <f t="shared" si="16"/>
        <v>0.41036650326925378</v>
      </c>
      <c r="O106" s="101">
        <f t="shared" si="17"/>
        <v>1</v>
      </c>
      <c r="P106" s="65">
        <f t="shared" si="18"/>
        <v>0.41036650326925378</v>
      </c>
      <c r="Q106" s="102">
        <f>P106/Discount!B23</f>
        <v>0.10604650256305476</v>
      </c>
    </row>
    <row r="107" spans="1:17" s="54" customFormat="1">
      <c r="A107" s="54">
        <v>2039</v>
      </c>
      <c r="B107" s="54">
        <v>11</v>
      </c>
      <c r="C107" s="62">
        <f>'Travel Time Savings'!F36*$D$65</f>
        <v>29058.884263460986</v>
      </c>
      <c r="D107" s="62">
        <f t="shared" si="12"/>
        <v>87.837438848972852</v>
      </c>
      <c r="E107" s="101">
        <f t="shared" si="13"/>
        <v>1</v>
      </c>
      <c r="F107" s="65">
        <f t="shared" si="14"/>
        <v>87.837438848972852</v>
      </c>
      <c r="G107" s="102">
        <f>F107/Discount!B24</f>
        <v>21.213890987921246</v>
      </c>
      <c r="I107" s="54">
        <v>2039</v>
      </c>
      <c r="J107" s="54">
        <v>11</v>
      </c>
      <c r="K107" s="62">
        <f>'Travel Time Savings'!F36*$D$66</f>
        <v>4928.1148750898747</v>
      </c>
      <c r="L107" s="103">
        <f t="shared" si="15"/>
        <v>0.41762999037712012</v>
      </c>
      <c r="M107" s="103">
        <v>0</v>
      </c>
      <c r="N107" s="239">
        <f t="shared" si="16"/>
        <v>0.41762999037712012</v>
      </c>
      <c r="O107" s="101">
        <f t="shared" si="17"/>
        <v>1</v>
      </c>
      <c r="P107" s="65">
        <f t="shared" si="18"/>
        <v>0.41762999037712012</v>
      </c>
      <c r="Q107" s="102">
        <f>P107/Discount!B24</f>
        <v>0.10086310809198221</v>
      </c>
    </row>
    <row r="108" spans="1:17" s="54" customFormat="1">
      <c r="A108" s="54">
        <v>2040</v>
      </c>
      <c r="B108" s="54">
        <v>12</v>
      </c>
      <c r="C108" s="62">
        <f>'Travel Time Savings'!F37*$D$65</f>
        <v>29573.226514924256</v>
      </c>
      <c r="D108" s="62">
        <f t="shared" si="12"/>
        <v>89.392161516599714</v>
      </c>
      <c r="E108" s="101">
        <f t="shared" si="13"/>
        <v>1</v>
      </c>
      <c r="F108" s="65">
        <f t="shared" si="14"/>
        <v>89.392161516599714</v>
      </c>
      <c r="G108" s="102">
        <f>F108/Discount!B25</f>
        <v>20.176987718137816</v>
      </c>
      <c r="I108" s="54">
        <v>2040</v>
      </c>
      <c r="J108" s="54">
        <v>12</v>
      </c>
      <c r="K108" s="62">
        <f>'Travel Time Savings'!F37*$D$66</f>
        <v>5015.3425083789671</v>
      </c>
      <c r="L108" s="103">
        <f t="shared" si="15"/>
        <v>0.42502204120679532</v>
      </c>
      <c r="M108" s="103">
        <v>0</v>
      </c>
      <c r="N108" s="239">
        <f t="shared" si="16"/>
        <v>0.42502204120679532</v>
      </c>
      <c r="O108" s="101">
        <f t="shared" si="17"/>
        <v>1</v>
      </c>
      <c r="P108" s="65">
        <f t="shared" si="18"/>
        <v>0.42502204120679532</v>
      </c>
      <c r="Q108" s="102">
        <f>P108/Discount!B25</f>
        <v>9.5933070191785361E-2</v>
      </c>
    </row>
    <row r="109" spans="1:17" s="54" customFormat="1">
      <c r="A109" s="54">
        <v>2041</v>
      </c>
      <c r="B109" s="54">
        <v>13</v>
      </c>
      <c r="C109" s="62">
        <f>'Travel Time Savings'!F38*$D$65</f>
        <v>30096.672624238377</v>
      </c>
      <c r="D109" s="62">
        <f t="shared" si="12"/>
        <v>90.974402775443394</v>
      </c>
      <c r="E109" s="101">
        <f t="shared" si="13"/>
        <v>1</v>
      </c>
      <c r="F109" s="65">
        <f t="shared" si="14"/>
        <v>90.974402775443394</v>
      </c>
      <c r="G109" s="102">
        <f>F109/Discount!B26</f>
        <v>19.1907667296718</v>
      </c>
      <c r="I109" s="54">
        <v>2041</v>
      </c>
      <c r="J109" s="54">
        <v>13</v>
      </c>
      <c r="K109" s="62">
        <f>'Travel Time Savings'!F38*$D$66</f>
        <v>5104.1140707772684</v>
      </c>
      <c r="L109" s="103">
        <f t="shared" si="15"/>
        <v>0.43254493133615501</v>
      </c>
      <c r="M109" s="103">
        <v>0</v>
      </c>
      <c r="N109" s="239">
        <f t="shared" si="16"/>
        <v>0.43254493133615501</v>
      </c>
      <c r="O109" s="101">
        <f t="shared" si="17"/>
        <v>1</v>
      </c>
      <c r="P109" s="65">
        <f t="shared" si="18"/>
        <v>0.43254493133615501</v>
      </c>
      <c r="Q109" s="102">
        <f>P109/Discount!B26</f>
        <v>9.1244005172130674E-2</v>
      </c>
    </row>
    <row r="110" spans="1:17" s="54" customFormat="1">
      <c r="A110" s="54">
        <v>2042</v>
      </c>
      <c r="B110" s="54">
        <v>14</v>
      </c>
      <c r="C110" s="62">
        <f>'Travel Time Savings'!F39*$D$65</f>
        <v>30629.383729687404</v>
      </c>
      <c r="D110" s="62">
        <f t="shared" si="12"/>
        <v>92.584649704568776</v>
      </c>
      <c r="E110" s="101">
        <f t="shared" si="13"/>
        <v>1</v>
      </c>
      <c r="F110" s="65">
        <f t="shared" si="14"/>
        <v>92.584649704568776</v>
      </c>
      <c r="G110" s="102">
        <f>F110/Discount!B27</f>
        <v>18.252750748399063</v>
      </c>
      <c r="I110" s="54">
        <v>2042</v>
      </c>
      <c r="J110" s="54">
        <v>14</v>
      </c>
      <c r="K110" s="62">
        <f>'Travel Time Savings'!F39*$D$66</f>
        <v>5194.4568898300276</v>
      </c>
      <c r="L110" s="103">
        <f t="shared" si="15"/>
        <v>0.4402009766208051</v>
      </c>
      <c r="M110" s="103">
        <v>0</v>
      </c>
      <c r="N110" s="239">
        <f t="shared" si="16"/>
        <v>0.4402009766208051</v>
      </c>
      <c r="O110" s="101">
        <f t="shared" si="17"/>
        <v>1</v>
      </c>
      <c r="P110" s="65">
        <f t="shared" si="18"/>
        <v>0.4402009766208051</v>
      </c>
      <c r="Q110" s="102">
        <f>P110/Discount!B27</f>
        <v>8.6784134638950849E-2</v>
      </c>
    </row>
    <row r="111" spans="1:17" s="54" customFormat="1">
      <c r="A111" s="54">
        <v>2043</v>
      </c>
      <c r="B111" s="54">
        <v>15</v>
      </c>
      <c r="C111" s="62">
        <f>'Travel Time Savings'!F40*$D$65</f>
        <v>31171.523821702875</v>
      </c>
      <c r="D111" s="62">
        <f t="shared" si="12"/>
        <v>94.223398004339643</v>
      </c>
      <c r="E111" s="101">
        <f t="shared" si="13"/>
        <v>1</v>
      </c>
      <c r="F111" s="65">
        <f t="shared" si="14"/>
        <v>94.223398004339643</v>
      </c>
      <c r="G111" s="102">
        <f>F111/Discount!B28</f>
        <v>17.360583585650208</v>
      </c>
      <c r="I111" s="54">
        <v>2043</v>
      </c>
      <c r="J111" s="54">
        <v>15</v>
      </c>
      <c r="K111" s="62">
        <f>'Travel Time Savings'!F40*$D$66</f>
        <v>5286.398776780019</v>
      </c>
      <c r="L111" s="103">
        <f t="shared" si="15"/>
        <v>0.44799253390699334</v>
      </c>
      <c r="M111" s="103">
        <v>0</v>
      </c>
      <c r="N111" s="239">
        <f t="shared" si="16"/>
        <v>0.44799253390699334</v>
      </c>
      <c r="O111" s="101">
        <f t="shared" si="17"/>
        <v>1</v>
      </c>
      <c r="P111" s="65">
        <f t="shared" si="18"/>
        <v>0.44799253390699334</v>
      </c>
      <c r="Q111" s="102">
        <f>P111/Discount!B28</f>
        <v>8.2542255908467546E-2</v>
      </c>
    </row>
    <row r="112" spans="1:17" s="54" customFormat="1">
      <c r="A112" s="54">
        <v>2044</v>
      </c>
      <c r="B112" s="54">
        <v>16</v>
      </c>
      <c r="C112" s="62">
        <f>'Travel Time Savings'!F41*$D$65</f>
        <v>31723.259793347024</v>
      </c>
      <c r="D112" s="62">
        <f t="shared" si="12"/>
        <v>95.891152149016492</v>
      </c>
      <c r="E112" s="101">
        <f t="shared" si="13"/>
        <v>1</v>
      </c>
      <c r="F112" s="65">
        <f t="shared" si="14"/>
        <v>95.891152149016492</v>
      </c>
      <c r="G112" s="102">
        <f>F112/Discount!B29</f>
        <v>16.512024219734791</v>
      </c>
      <c r="I112" s="54">
        <v>2044</v>
      </c>
      <c r="J112" s="54">
        <v>16</v>
      </c>
      <c r="K112" s="62">
        <f>'Travel Time Savings'!F41*$D$66</f>
        <v>5379.9680351290272</v>
      </c>
      <c r="L112" s="103">
        <f t="shared" si="15"/>
        <v>0.45592200175714731</v>
      </c>
      <c r="M112" s="103">
        <v>0</v>
      </c>
      <c r="N112" s="239">
        <f t="shared" si="16"/>
        <v>0.45592200175714731</v>
      </c>
      <c r="O112" s="101">
        <f t="shared" si="17"/>
        <v>1</v>
      </c>
      <c r="P112" s="65">
        <f t="shared" si="18"/>
        <v>0.45592200175714731</v>
      </c>
      <c r="Q112" s="102">
        <f>P112/Discount!B29</f>
        <v>7.8507713867334086E-2</v>
      </c>
    </row>
    <row r="113" spans="1:19" s="54" customFormat="1">
      <c r="A113" s="54">
        <v>2045</v>
      </c>
      <c r="B113" s="54">
        <v>17</v>
      </c>
      <c r="C113" s="62">
        <f>'Travel Time Savings'!F42*$D$65</f>
        <v>32284.761491689274</v>
      </c>
      <c r="D113" s="62">
        <f t="shared" si="12"/>
        <v>97.588425542054111</v>
      </c>
      <c r="E113" s="101">
        <f t="shared" si="13"/>
        <v>1</v>
      </c>
      <c r="F113" s="65">
        <f t="shared" si="14"/>
        <v>97.588425542054111</v>
      </c>
      <c r="G113" s="102">
        <f>F113/Discount!B30</f>
        <v>15.704941166751494</v>
      </c>
      <c r="I113" s="54">
        <v>2045</v>
      </c>
      <c r="J113" s="54">
        <v>17</v>
      </c>
      <c r="K113" s="62">
        <f>'Travel Time Savings'!F42*$D$66</f>
        <v>5475.1934693508119</v>
      </c>
      <c r="L113" s="103">
        <f t="shared" si="15"/>
        <v>0.46399182118824883</v>
      </c>
      <c r="M113" s="103">
        <v>0</v>
      </c>
      <c r="N113" s="239">
        <f t="shared" si="16"/>
        <v>0.46399182118824883</v>
      </c>
      <c r="O113" s="101">
        <f t="shared" si="17"/>
        <v>1</v>
      </c>
      <c r="P113" s="65">
        <f t="shared" si="18"/>
        <v>0.46399182118824883</v>
      </c>
      <c r="Q113" s="102">
        <f>P113/Discount!B30</f>
        <v>7.4670374208211099E-2</v>
      </c>
    </row>
    <row r="114" spans="1:19" s="54" customFormat="1">
      <c r="A114" s="54">
        <v>2046</v>
      </c>
      <c r="B114" s="54">
        <v>18</v>
      </c>
      <c r="C114" s="62">
        <f>'Travel Time Savings'!F43*$D$65</f>
        <v>32856.201770092157</v>
      </c>
      <c r="D114" s="62">
        <f t="shared" si="12"/>
        <v>99.315740674148401</v>
      </c>
      <c r="E114" s="101">
        <f t="shared" si="13"/>
        <v>1</v>
      </c>
      <c r="F114" s="65">
        <f t="shared" si="14"/>
        <v>99.315740674148401</v>
      </c>
      <c r="G114" s="102">
        <f>F114/Discount!B31</f>
        <v>14.937307126544848</v>
      </c>
      <c r="I114" s="54">
        <v>2046</v>
      </c>
      <c r="J114" s="54">
        <v>18</v>
      </c>
      <c r="K114" s="62">
        <f>'Travel Time Savings'!F43*$D$66</f>
        <v>5572.1043937583181</v>
      </c>
      <c r="L114" s="103">
        <f t="shared" si="15"/>
        <v>0.47220447642328056</v>
      </c>
      <c r="M114" s="103">
        <v>0</v>
      </c>
      <c r="N114" s="239">
        <f t="shared" si="16"/>
        <v>0.47220447642328056</v>
      </c>
      <c r="O114" s="101">
        <f t="shared" si="17"/>
        <v>1</v>
      </c>
      <c r="P114" s="65">
        <f t="shared" si="18"/>
        <v>0.47220447642328056</v>
      </c>
      <c r="Q114" s="102">
        <f>P114/Discount!B31</f>
        <v>7.1020597973548052E-2</v>
      </c>
    </row>
    <row r="115" spans="1:19" s="54" customFormat="1">
      <c r="A115" s="54">
        <v>2047</v>
      </c>
      <c r="B115" s="54">
        <v>19</v>
      </c>
      <c r="C115" s="62">
        <f>'Travel Time Savings'!F44*$D$65</f>
        <v>33437.756541422787</v>
      </c>
      <c r="D115" s="62">
        <f t="shared" si="12"/>
        <v>101.07362928408084</v>
      </c>
      <c r="E115" s="101">
        <f t="shared" si="13"/>
        <v>1</v>
      </c>
      <c r="F115" s="65">
        <f t="shared" si="14"/>
        <v>101.07362928408084</v>
      </c>
      <c r="G115" s="102">
        <f>F115/Discount!B32</f>
        <v>14.207193890359525</v>
      </c>
      <c r="I115" s="54">
        <v>2047</v>
      </c>
      <c r="J115" s="54">
        <v>19</v>
      </c>
      <c r="K115" s="62">
        <f>'Travel Time Savings'!F44*$D$66</f>
        <v>5670.7306415278408</v>
      </c>
      <c r="L115" s="103">
        <f t="shared" si="15"/>
        <v>0.4805624956559727</v>
      </c>
      <c r="M115" s="103">
        <v>0</v>
      </c>
      <c r="N115" s="239">
        <f t="shared" si="16"/>
        <v>0.4805624956559727</v>
      </c>
      <c r="O115" s="101">
        <f t="shared" si="17"/>
        <v>1</v>
      </c>
      <c r="P115" s="65">
        <f t="shared" si="18"/>
        <v>0.4805624956559727</v>
      </c>
      <c r="Q115" s="102">
        <f>P115/Discount!B32</f>
        <v>6.7549217343626039E-2</v>
      </c>
    </row>
    <row r="116" spans="1:19" s="54" customFormat="1">
      <c r="A116" s="54">
        <v>2048</v>
      </c>
      <c r="B116" s="54">
        <v>20</v>
      </c>
      <c r="C116" s="62">
        <f>'Travel Time Savings'!F45*$D$65</f>
        <v>34029.604832205994</v>
      </c>
      <c r="D116" s="62">
        <f t="shared" si="12"/>
        <v>102.86263252240914</v>
      </c>
      <c r="E116" s="101">
        <f t="shared" si="13"/>
        <v>1</v>
      </c>
      <c r="F116" s="65">
        <f t="shared" si="14"/>
        <v>102.86263252240914</v>
      </c>
      <c r="G116" s="102">
        <f>F116/Discount!B33</f>
        <v>13.512767497400841</v>
      </c>
      <c r="I116" s="54">
        <v>2048</v>
      </c>
      <c r="J116" s="54">
        <v>20</v>
      </c>
      <c r="K116" s="62">
        <f>'Travel Time Savings'!F45*$D$66</f>
        <v>5771.1025738828876</v>
      </c>
      <c r="L116" s="103">
        <f t="shared" si="15"/>
        <v>0.48906845182908376</v>
      </c>
      <c r="M116" s="103">
        <v>0</v>
      </c>
      <c r="N116" s="239">
        <f t="shared" si="16"/>
        <v>0.48906845182908376</v>
      </c>
      <c r="O116" s="101">
        <f t="shared" si="17"/>
        <v>1</v>
      </c>
      <c r="P116" s="65">
        <f t="shared" si="18"/>
        <v>0.48906845182908376</v>
      </c>
      <c r="Q116" s="102">
        <f>P116/Discount!B33</f>
        <v>6.4247512608045107E-2</v>
      </c>
    </row>
    <row r="117" spans="1:19" s="54" customFormat="1">
      <c r="A117" s="54">
        <v>2049</v>
      </c>
      <c r="B117" s="54">
        <v>21</v>
      </c>
      <c r="C117" s="62">
        <f>'Travel Time Savings'!F46*$D$65</f>
        <v>34631.928837736014</v>
      </c>
      <c r="D117" s="62">
        <f t="shared" si="12"/>
        <v>104.6833011180557</v>
      </c>
      <c r="E117" s="101">
        <f t="shared" si="13"/>
        <v>1</v>
      </c>
      <c r="F117" s="65">
        <f t="shared" si="14"/>
        <v>104.6833011180557</v>
      </c>
      <c r="G117" s="102">
        <f>F117/Discount!B34</f>
        <v>12.852283628135348</v>
      </c>
      <c r="I117" s="54">
        <v>2049</v>
      </c>
      <c r="J117" s="54">
        <v>21</v>
      </c>
      <c r="K117" s="62">
        <f>'Travel Time Savings'!F46*$D$66</f>
        <v>5873.2510894406096</v>
      </c>
      <c r="L117" s="103">
        <f t="shared" si="15"/>
        <v>0.49772496342645811</v>
      </c>
      <c r="M117" s="103">
        <v>0</v>
      </c>
      <c r="N117" s="239">
        <f t="shared" si="16"/>
        <v>0.49772496342645811</v>
      </c>
      <c r="O117" s="101">
        <f t="shared" si="17"/>
        <v>1</v>
      </c>
      <c r="P117" s="65">
        <f t="shared" si="18"/>
        <v>0.49772496342645811</v>
      </c>
      <c r="Q117" s="102">
        <f>P117/Discount!B34</f>
        <v>6.1107190262810689E-2</v>
      </c>
    </row>
    <row r="118" spans="1:19" s="54" customFormat="1">
      <c r="A118" s="54">
        <v>2050</v>
      </c>
      <c r="B118" s="54">
        <v>22</v>
      </c>
      <c r="C118" s="62">
        <f>'Travel Time Savings'!F47*$D$65</f>
        <v>35244.91397816399</v>
      </c>
      <c r="D118" s="62">
        <f t="shared" si="12"/>
        <v>106.53619554784544</v>
      </c>
      <c r="E118" s="101">
        <f t="shared" si="13"/>
        <v>1</v>
      </c>
      <c r="F118" s="65">
        <f t="shared" si="14"/>
        <v>106.53619554784544</v>
      </c>
      <c r="G118" s="102">
        <f>F118/Discount!B35</f>
        <v>12.224083222760154</v>
      </c>
      <c r="I118" s="54">
        <v>2050</v>
      </c>
      <c r="J118" s="54">
        <v>22</v>
      </c>
      <c r="K118" s="62">
        <f>'Travel Time Savings'!F47*$D$66</f>
        <v>5977.2076337237168</v>
      </c>
      <c r="L118" s="103">
        <f t="shared" si="15"/>
        <v>0.50653469527910711</v>
      </c>
      <c r="M118" s="103">
        <v>0</v>
      </c>
      <c r="N118" s="239">
        <f t="shared" si="16"/>
        <v>0.50653469527910711</v>
      </c>
      <c r="O118" s="101">
        <f t="shared" si="17"/>
        <v>1</v>
      </c>
      <c r="P118" s="65">
        <f t="shared" si="18"/>
        <v>0.50653469527910711</v>
      </c>
      <c r="Q118" s="102">
        <f>P118/Discount!B35</f>
        <v>5.8120362178002365E-2</v>
      </c>
    </row>
    <row r="119" spans="1:19" s="54" customFormat="1">
      <c r="A119" s="54">
        <v>2051</v>
      </c>
      <c r="B119" s="54">
        <v>23</v>
      </c>
      <c r="C119" s="62">
        <f>'Travel Time Savings'!F48*$D$65</f>
        <v>35868.748955577474</v>
      </c>
      <c r="D119" s="62">
        <f t="shared" si="12"/>
        <v>108.42188620904223</v>
      </c>
      <c r="E119" s="101">
        <f t="shared" si="13"/>
        <v>1</v>
      </c>
      <c r="F119" s="65">
        <f t="shared" si="14"/>
        <v>108.42188620904223</v>
      </c>
      <c r="G119" s="102">
        <f>F119/Discount!B36</f>
        <v>11.626588313834578</v>
      </c>
      <c r="I119" s="54">
        <v>2051</v>
      </c>
      <c r="J119" s="54">
        <v>23</v>
      </c>
      <c r="K119" s="62">
        <f>'Travel Time Savings'!F48*$D$66</f>
        <v>6083.0042088406244</v>
      </c>
      <c r="L119" s="103">
        <f t="shared" si="15"/>
        <v>0.51550035938554717</v>
      </c>
      <c r="M119" s="103">
        <v>0</v>
      </c>
      <c r="N119" s="239">
        <f t="shared" si="16"/>
        <v>0.51550035938554717</v>
      </c>
      <c r="O119" s="101">
        <f t="shared" si="17"/>
        <v>1</v>
      </c>
      <c r="P119" s="65">
        <f t="shared" si="18"/>
        <v>0.51550035938554717</v>
      </c>
      <c r="Q119" s="102">
        <f>P119/Discount!B36</f>
        <v>5.5279525783694383E-2</v>
      </c>
    </row>
    <row r="120" spans="1:19" s="54" customFormat="1">
      <c r="A120" s="54">
        <v>2052</v>
      </c>
      <c r="B120" s="54">
        <v>24</v>
      </c>
      <c r="C120" s="62">
        <f>'Travel Time Savings'!F49*$D$65</f>
        <v>36503.62581209121</v>
      </c>
      <c r="D120" s="62">
        <f t="shared" si="12"/>
        <v>110.34095359494232</v>
      </c>
      <c r="E120" s="101">
        <f t="shared" si="13"/>
        <v>1</v>
      </c>
      <c r="F120" s="65">
        <f t="shared" si="14"/>
        <v>110.34095359494232</v>
      </c>
      <c r="G120" s="102">
        <f>F120/Discount!B37</f>
        <v>11.058298062606969</v>
      </c>
      <c r="I120" s="54">
        <v>2052</v>
      </c>
      <c r="J120" s="54">
        <v>24</v>
      </c>
      <c r="K120" s="62">
        <f>'Travel Time Savings'!F49*$D$66</f>
        <v>6190.6733833371063</v>
      </c>
      <c r="L120" s="103">
        <f t="shared" si="15"/>
        <v>0.52462471574667147</v>
      </c>
      <c r="M120" s="103">
        <v>0</v>
      </c>
      <c r="N120" s="239">
        <f t="shared" si="16"/>
        <v>0.52462471574667147</v>
      </c>
      <c r="O120" s="101">
        <f t="shared" si="17"/>
        <v>1</v>
      </c>
      <c r="P120" s="65">
        <f t="shared" si="18"/>
        <v>0.52462471574667147</v>
      </c>
      <c r="Q120" s="102">
        <f>P120/Discount!B37</f>
        <v>5.2577545224360547E-2</v>
      </c>
    </row>
    <row r="121" spans="1:19" s="54" customFormat="1">
      <c r="A121" s="54">
        <v>2053</v>
      </c>
      <c r="B121" s="54">
        <v>25</v>
      </c>
      <c r="C121" s="62">
        <f>'Travel Time Savings'!F50*$D$65</f>
        <v>37149.739988965215</v>
      </c>
      <c r="D121" s="62">
        <f t="shared" si="12"/>
        <v>112.29398847357277</v>
      </c>
      <c r="E121" s="101">
        <f t="shared" si="13"/>
        <v>1</v>
      </c>
      <c r="F121" s="65">
        <f t="shared" si="14"/>
        <v>112.29398847357277</v>
      </c>
      <c r="G121" s="102">
        <f>F121/Discount!B38</f>
        <v>10.517784989079541</v>
      </c>
      <c r="I121" s="54">
        <v>2053</v>
      </c>
      <c r="J121" s="54">
        <v>25</v>
      </c>
      <c r="K121" s="62">
        <f>'Travel Time Savings'!F50*$D$66</f>
        <v>6300.2483022221704</v>
      </c>
      <c r="L121" s="103">
        <f t="shared" si="15"/>
        <v>0.53391057321538737</v>
      </c>
      <c r="M121" s="103">
        <v>0</v>
      </c>
      <c r="N121" s="239">
        <f t="shared" si="16"/>
        <v>0.53391057321538737</v>
      </c>
      <c r="O121" s="101">
        <f t="shared" si="17"/>
        <v>1</v>
      </c>
      <c r="P121" s="65">
        <f t="shared" si="18"/>
        <v>0.53391057321538737</v>
      </c>
      <c r="Q121" s="102">
        <f>P121/Discount!B38</f>
        <v>5.0007633434422161E-2</v>
      </c>
    </row>
    <row r="122" spans="1:19" s="54" customFormat="1">
      <c r="A122" s="54">
        <v>2054</v>
      </c>
      <c r="B122" s="54">
        <v>26</v>
      </c>
      <c r="C122" s="62">
        <f>'Travel Time Savings'!F51*$D$65</f>
        <v>37807.290386769848</v>
      </c>
      <c r="D122" s="62">
        <f t="shared" si="12"/>
        <v>114.28159206955486</v>
      </c>
      <c r="E122" s="101">
        <f t="shared" si="13"/>
        <v>1</v>
      </c>
      <c r="F122" s="65">
        <f t="shared" si="14"/>
        <v>114.28159206955486</v>
      </c>
      <c r="G122" s="102">
        <f>F122/Discount!B39</f>
        <v>10.003691386342275</v>
      </c>
      <c r="I122" s="54">
        <v>2054</v>
      </c>
      <c r="J122" s="54">
        <v>26</v>
      </c>
      <c r="K122" s="62">
        <f>'Travel Time Savings'!F51*$D$66</f>
        <v>6411.7626971714935</v>
      </c>
      <c r="L122" s="103">
        <f t="shared" si="15"/>
        <v>0.54336079036129903</v>
      </c>
      <c r="M122" s="103">
        <v>0</v>
      </c>
      <c r="N122" s="239">
        <f t="shared" si="16"/>
        <v>0.54336079036129903</v>
      </c>
      <c r="O122" s="101">
        <f t="shared" si="17"/>
        <v>1</v>
      </c>
      <c r="P122" s="65">
        <f t="shared" si="18"/>
        <v>0.54336079036129903</v>
      </c>
      <c r="Q122" s="102">
        <f>P122/Discount!B39</f>
        <v>4.7563335089917162E-2</v>
      </c>
    </row>
    <row r="123" spans="1:19" s="54" customFormat="1">
      <c r="A123" s="54">
        <v>2055</v>
      </c>
      <c r="B123" s="54">
        <v>27</v>
      </c>
      <c r="C123" s="62">
        <f>'Travel Time Savings'!F52*$D$65</f>
        <v>38476.479426615719</v>
      </c>
      <c r="D123" s="62">
        <f t="shared" si="12"/>
        <v>116.30437624918612</v>
      </c>
      <c r="E123" s="101">
        <f t="shared" si="13"/>
        <v>1</v>
      </c>
      <c r="F123" s="65">
        <f t="shared" si="14"/>
        <v>116.30437624918612</v>
      </c>
      <c r="G123" s="102">
        <f>F123/Discount!B40</f>
        <v>9.5147259101687336</v>
      </c>
      <c r="I123" s="54">
        <v>2055</v>
      </c>
      <c r="J123" s="54">
        <v>27</v>
      </c>
      <c r="K123" s="62">
        <f>'Travel Time Savings'!F52*$D$66</f>
        <v>6525.2508969114369</v>
      </c>
      <c r="L123" s="103">
        <f t="shared" si="15"/>
        <v>0.55297827635069463</v>
      </c>
      <c r="M123" s="103">
        <v>0</v>
      </c>
      <c r="N123" s="239">
        <f t="shared" si="16"/>
        <v>0.55297827635069463</v>
      </c>
      <c r="O123" s="101">
        <f t="shared" si="17"/>
        <v>1</v>
      </c>
      <c r="P123" s="65">
        <f t="shared" si="18"/>
        <v>0.55297827635069463</v>
      </c>
      <c r="Q123" s="102">
        <f>P123/Discount!B40</f>
        <v>4.5238510393466116E-2</v>
      </c>
    </row>
    <row r="124" spans="1:19" s="54" customFormat="1">
      <c r="A124" s="54">
        <v>2056</v>
      </c>
      <c r="B124" s="54">
        <v>28</v>
      </c>
      <c r="C124" s="62">
        <f>'Travel Time Savings'!F53*$D$65</f>
        <v>39157.513112466833</v>
      </c>
      <c r="D124" s="62">
        <f t="shared" si="12"/>
        <v>118.36296370879677</v>
      </c>
      <c r="E124" s="101">
        <f t="shared" si="13"/>
        <v>1</v>
      </c>
      <c r="F124" s="65">
        <f t="shared" si="14"/>
        <v>118.36296370879677</v>
      </c>
      <c r="G124" s="102">
        <f>F124/Discount!B41</f>
        <v>9.0496603353072196</v>
      </c>
      <c r="I124" s="54">
        <v>2056</v>
      </c>
      <c r="J124" s="54">
        <v>28</v>
      </c>
      <c r="K124" s="62">
        <f>'Travel Time Savings'!F53*$D$66</f>
        <v>6640.7478377867728</v>
      </c>
      <c r="L124" s="103">
        <f t="shared" si="15"/>
        <v>0.56276599184210219</v>
      </c>
      <c r="M124" s="103">
        <v>0</v>
      </c>
      <c r="N124" s="239">
        <f t="shared" si="16"/>
        <v>0.56276599184210219</v>
      </c>
      <c r="O124" s="101">
        <f t="shared" si="17"/>
        <v>1</v>
      </c>
      <c r="P124" s="65">
        <f t="shared" si="18"/>
        <v>0.56276599184210219</v>
      </c>
      <c r="Q124" s="102">
        <f>P124/Discount!B41</f>
        <v>4.3027319651804195E-2</v>
      </c>
    </row>
    <row r="125" spans="1:19" s="54" customFormat="1">
      <c r="A125" s="54">
        <v>2057</v>
      </c>
      <c r="B125" s="54">
        <v>29</v>
      </c>
      <c r="C125" s="62">
        <f>'Travel Time Savings'!F54*$D$65</f>
        <v>39850.601094557453</v>
      </c>
      <c r="D125" s="62">
        <f t="shared" si="12"/>
        <v>120.45798816644235</v>
      </c>
      <c r="E125" s="101">
        <f t="shared" si="13"/>
        <v>1</v>
      </c>
      <c r="F125" s="65">
        <f t="shared" si="14"/>
        <v>120.45798816644235</v>
      </c>
      <c r="G125" s="102">
        <f>F125/Discount!B42</f>
        <v>8.6073264703197641</v>
      </c>
      <c r="I125" s="54">
        <v>2057</v>
      </c>
      <c r="J125" s="54">
        <v>29</v>
      </c>
      <c r="K125" s="62">
        <f>'Travel Time Savings'!F54*$D$66</f>
        <v>6758.289074515591</v>
      </c>
      <c r="L125" s="103">
        <f t="shared" si="15"/>
        <v>0.57272694989770678</v>
      </c>
      <c r="M125" s="103">
        <v>0</v>
      </c>
      <c r="N125" s="239">
        <f t="shared" si="16"/>
        <v>0.57272694989770678</v>
      </c>
      <c r="O125" s="101">
        <f t="shared" si="17"/>
        <v>1</v>
      </c>
      <c r="P125" s="65">
        <f t="shared" si="18"/>
        <v>0.57272694989770678</v>
      </c>
      <c r="Q125" s="102">
        <f>P125/Discount!B42</f>
        <v>4.0924208607141202E-2</v>
      </c>
    </row>
    <row r="126" spans="1:19" s="54" customFormat="1">
      <c r="A126" s="54">
        <v>2058</v>
      </c>
      <c r="B126" s="54">
        <v>30</v>
      </c>
      <c r="C126" s="62">
        <f>'Travel Time Savings'!F55*$D$65</f>
        <v>40555.956733931147</v>
      </c>
      <c r="D126" s="62">
        <f t="shared" si="12"/>
        <v>122.59009455698845</v>
      </c>
      <c r="E126" s="101">
        <f t="shared" si="13"/>
        <v>1</v>
      </c>
      <c r="F126" s="65">
        <f t="shared" si="14"/>
        <v>122.59009455698845</v>
      </c>
      <c r="G126" s="102">
        <f>F126/Discount!B43</f>
        <v>8.1866132232190925</v>
      </c>
      <c r="I126" s="54">
        <v>2058</v>
      </c>
      <c r="J126" s="54">
        <v>30</v>
      </c>
      <c r="K126" s="62">
        <f>'Travel Time Savings'!F55*$D$66</f>
        <v>6877.9107911345209</v>
      </c>
      <c r="L126" s="103">
        <f t="shared" si="15"/>
        <v>0.58286421691089652</v>
      </c>
      <c r="M126" s="103">
        <v>0</v>
      </c>
      <c r="N126" s="239">
        <f t="shared" si="16"/>
        <v>0.58286421691089652</v>
      </c>
      <c r="O126" s="101">
        <f t="shared" si="17"/>
        <v>1</v>
      </c>
      <c r="P126" s="65">
        <f t="shared" si="18"/>
        <v>0.58286421691089652</v>
      </c>
      <c r="Q126" s="102">
        <f>P126/Discount!B43</f>
        <v>3.8923894485502451E-2</v>
      </c>
    </row>
    <row r="127" spans="1:19" s="54" customFormat="1" ht="32.25" customHeight="1" thickBot="1">
      <c r="A127" s="306" t="s">
        <v>387</v>
      </c>
      <c r="B127" s="306"/>
      <c r="C127" s="306"/>
      <c r="D127" s="69">
        <f>SUM(D86:D126)</f>
        <v>2884.6039668930744</v>
      </c>
      <c r="E127" s="68"/>
      <c r="F127" s="70">
        <f>SUM(F86:F109)</f>
        <v>1066.7909993180303</v>
      </c>
      <c r="G127" s="70">
        <f>SUM(G86:G109)</f>
        <v>342.94731329668991</v>
      </c>
      <c r="I127" s="306" t="s">
        <v>387</v>
      </c>
      <c r="J127" s="306"/>
      <c r="K127" s="306"/>
      <c r="L127" s="104">
        <f>SUM(L86:L126)</f>
        <v>13.715075743575655</v>
      </c>
      <c r="M127" s="241">
        <f>SUM(M86:M126)</f>
        <v>0.479687031948</v>
      </c>
      <c r="N127" s="241">
        <f>SUM(N86:N126)</f>
        <v>14.194762775523657</v>
      </c>
      <c r="O127" s="68"/>
      <c r="P127" s="70">
        <f>SUM(P86:P109)</f>
        <v>5.5518284857262516</v>
      </c>
      <c r="Q127" s="70">
        <f>SUM(Q86:Q109)</f>
        <v>1.8918861402519036</v>
      </c>
      <c r="S127" s="105">
        <f>D127+N127</f>
        <v>2898.7987296685978</v>
      </c>
    </row>
    <row r="128" spans="1:19" s="54" customFormat="1" ht="15.75" thickTop="1">
      <c r="D128" s="105"/>
    </row>
    <row r="129" spans="1:17" s="54" customFormat="1" ht="15.75" thickBot="1">
      <c r="A129" s="353" t="s">
        <v>637</v>
      </c>
      <c r="B129" s="353"/>
      <c r="C129" s="353"/>
      <c r="D129" s="353"/>
      <c r="E129" s="353"/>
      <c r="F129" s="353"/>
      <c r="G129" s="353"/>
      <c r="I129" s="353" t="s">
        <v>643</v>
      </c>
      <c r="J129" s="353"/>
      <c r="K129" s="353"/>
      <c r="L129" s="353"/>
      <c r="M129" s="353"/>
      <c r="N129" s="353"/>
      <c r="O129" s="353"/>
    </row>
    <row r="130" spans="1:17" s="54" customFormat="1" ht="90">
      <c r="A130" s="61" t="s">
        <v>25</v>
      </c>
      <c r="B130" s="61" t="s">
        <v>26</v>
      </c>
      <c r="C130" s="61" t="s">
        <v>353</v>
      </c>
      <c r="D130" s="61" t="s">
        <v>354</v>
      </c>
      <c r="E130" s="61" t="s">
        <v>355</v>
      </c>
      <c r="F130" s="61" t="s">
        <v>27</v>
      </c>
      <c r="G130" s="61" t="s">
        <v>28</v>
      </c>
      <c r="I130" s="61" t="s">
        <v>25</v>
      </c>
      <c r="J130" s="61" t="s">
        <v>26</v>
      </c>
      <c r="K130" s="61" t="s">
        <v>353</v>
      </c>
      <c r="L130" s="61" t="s">
        <v>666</v>
      </c>
      <c r="M130" s="61" t="s">
        <v>667</v>
      </c>
      <c r="N130" s="61" t="s">
        <v>668</v>
      </c>
      <c r="O130" s="61" t="s">
        <v>355</v>
      </c>
      <c r="P130" s="61" t="s">
        <v>27</v>
      </c>
      <c r="Q130" s="61" t="s">
        <v>28</v>
      </c>
    </row>
    <row r="131" spans="1:17" s="54" customFormat="1">
      <c r="A131" s="54">
        <v>2018</v>
      </c>
      <c r="C131" s="62">
        <f>'Travel Time Savings'!F15*$D$65</f>
        <v>0</v>
      </c>
      <c r="D131" s="106">
        <f>(C131*$D$52)*$D$60</f>
        <v>0</v>
      </c>
      <c r="E131" s="65">
        <f>$D$70</f>
        <v>8300</v>
      </c>
      <c r="F131" s="65">
        <f t="shared" ref="F131" si="19">D131*E131</f>
        <v>0</v>
      </c>
      <c r="G131" s="107">
        <f>F131/Discount!B3</f>
        <v>0</v>
      </c>
      <c r="I131" s="54">
        <v>2018</v>
      </c>
      <c r="K131" s="62">
        <f>'Travel Time Savings'!F15*$D$66</f>
        <v>0</v>
      </c>
      <c r="L131" s="106">
        <f t="shared" ref="L131" si="20">(K131*$D$79)*$D$60</f>
        <v>0</v>
      </c>
      <c r="M131" s="103">
        <v>0</v>
      </c>
      <c r="N131" s="239">
        <f>L131+M131</f>
        <v>0</v>
      </c>
      <c r="O131" s="65">
        <f>$D$70</f>
        <v>8300</v>
      </c>
      <c r="P131" s="65">
        <f>N131*O131</f>
        <v>0</v>
      </c>
      <c r="Q131" s="107">
        <f>P131/Discount!B3</f>
        <v>0</v>
      </c>
    </row>
    <row r="132" spans="1:17" s="54" customFormat="1">
      <c r="A132" s="54">
        <v>2019</v>
      </c>
      <c r="C132" s="62">
        <f>'Travel Time Savings'!F16*$D$65</f>
        <v>0</v>
      </c>
      <c r="D132" s="106">
        <f t="shared" ref="D132:D171" si="21">(C132*$D$52)*$D$60</f>
        <v>0</v>
      </c>
      <c r="E132" s="65">
        <f t="shared" ref="E132:E171" si="22">$D$70</f>
        <v>8300</v>
      </c>
      <c r="F132" s="65">
        <f t="shared" ref="F132:F171" si="23">D132*E132</f>
        <v>0</v>
      </c>
      <c r="G132" s="107">
        <f>F132/Discount!B4</f>
        <v>0</v>
      </c>
      <c r="I132" s="54">
        <v>2019</v>
      </c>
      <c r="K132" s="62">
        <f>'Travel Time Savings'!F16*$D$66</f>
        <v>0</v>
      </c>
      <c r="L132" s="106">
        <f t="shared" ref="L132:L171" si="24">(K132*$D$79)*$D$60</f>
        <v>0</v>
      </c>
      <c r="M132" s="103">
        <v>0</v>
      </c>
      <c r="N132" s="239">
        <f t="shared" ref="N132:N171" si="25">L132+M132</f>
        <v>0</v>
      </c>
      <c r="O132" s="65">
        <f t="shared" ref="O132:O171" si="26">$D$70</f>
        <v>8300</v>
      </c>
      <c r="P132" s="65">
        <f t="shared" ref="P132:P171" si="27">N132*O132</f>
        <v>0</v>
      </c>
      <c r="Q132" s="107">
        <f>P132/Discount!B4</f>
        <v>0</v>
      </c>
    </row>
    <row r="133" spans="1:17" s="54" customFormat="1">
      <c r="A133" s="54">
        <v>2020</v>
      </c>
      <c r="C133" s="62">
        <f>'Travel Time Savings'!F17*$D$65</f>
        <v>0</v>
      </c>
      <c r="D133" s="106">
        <f t="shared" si="21"/>
        <v>0</v>
      </c>
      <c r="E133" s="65">
        <f t="shared" si="22"/>
        <v>8300</v>
      </c>
      <c r="F133" s="65">
        <f t="shared" si="23"/>
        <v>0</v>
      </c>
      <c r="G133" s="107">
        <f>F133/Discount!B5</f>
        <v>0</v>
      </c>
      <c r="I133" s="54">
        <v>2020</v>
      </c>
      <c r="K133" s="62">
        <f>'Travel Time Savings'!F17*$D$66</f>
        <v>0</v>
      </c>
      <c r="L133" s="106">
        <f t="shared" si="24"/>
        <v>0</v>
      </c>
      <c r="M133" s="103">
        <v>0</v>
      </c>
      <c r="N133" s="239">
        <f t="shared" si="25"/>
        <v>0</v>
      </c>
      <c r="O133" s="65">
        <f t="shared" si="26"/>
        <v>8300</v>
      </c>
      <c r="P133" s="65">
        <f t="shared" si="27"/>
        <v>0</v>
      </c>
      <c r="Q133" s="107">
        <f>P133/Discount!B5</f>
        <v>0</v>
      </c>
    </row>
    <row r="134" spans="1:17" s="54" customFormat="1">
      <c r="A134" s="54">
        <v>2021</v>
      </c>
      <c r="C134" s="62">
        <f>'Travel Time Savings'!F18*$D$65</f>
        <v>0</v>
      </c>
      <c r="D134" s="106">
        <f t="shared" si="21"/>
        <v>0</v>
      </c>
      <c r="E134" s="65">
        <f t="shared" si="22"/>
        <v>8300</v>
      </c>
      <c r="F134" s="65">
        <f t="shared" si="23"/>
        <v>0</v>
      </c>
      <c r="G134" s="107">
        <f>F134/Discount!B6</f>
        <v>0</v>
      </c>
      <c r="I134" s="54">
        <v>2021</v>
      </c>
      <c r="K134" s="62">
        <f>'Travel Time Savings'!F18*$D$66</f>
        <v>0</v>
      </c>
      <c r="L134" s="106">
        <f t="shared" si="24"/>
        <v>0</v>
      </c>
      <c r="M134" s="103">
        <v>0</v>
      </c>
      <c r="N134" s="239">
        <f t="shared" si="25"/>
        <v>0</v>
      </c>
      <c r="O134" s="65">
        <f t="shared" si="26"/>
        <v>8300</v>
      </c>
      <c r="P134" s="65">
        <f t="shared" si="27"/>
        <v>0</v>
      </c>
      <c r="Q134" s="107">
        <f>P134/Discount!B6</f>
        <v>0</v>
      </c>
    </row>
    <row r="135" spans="1:17" s="54" customFormat="1">
      <c r="A135" s="54">
        <v>2022</v>
      </c>
      <c r="C135" s="62">
        <f>'Travel Time Savings'!F19*$D$65</f>
        <v>0</v>
      </c>
      <c r="D135" s="106">
        <f t="shared" si="21"/>
        <v>0</v>
      </c>
      <c r="E135" s="65">
        <f t="shared" si="22"/>
        <v>8300</v>
      </c>
      <c r="F135" s="65">
        <f t="shared" si="23"/>
        <v>0</v>
      </c>
      <c r="G135" s="107">
        <f>F135/Discount!B7</f>
        <v>0</v>
      </c>
      <c r="I135" s="54">
        <v>2022</v>
      </c>
      <c r="K135" s="62">
        <f>'Travel Time Savings'!F19*$D$66</f>
        <v>0</v>
      </c>
      <c r="L135" s="106">
        <f t="shared" si="24"/>
        <v>0</v>
      </c>
      <c r="M135" s="103">
        <v>0</v>
      </c>
      <c r="N135" s="239">
        <f t="shared" si="25"/>
        <v>0</v>
      </c>
      <c r="O135" s="65">
        <f t="shared" si="26"/>
        <v>8300</v>
      </c>
      <c r="P135" s="65">
        <f t="shared" si="27"/>
        <v>0</v>
      </c>
      <c r="Q135" s="107">
        <f>P135/Discount!B7</f>
        <v>0</v>
      </c>
    </row>
    <row r="136" spans="1:17" s="54" customFormat="1">
      <c r="A136" s="54">
        <v>2023</v>
      </c>
      <c r="C136" s="62">
        <f>'Travel Time Savings'!F20*$D$65</f>
        <v>0</v>
      </c>
      <c r="D136" s="106">
        <f t="shared" si="21"/>
        <v>0</v>
      </c>
      <c r="E136" s="65">
        <f t="shared" si="22"/>
        <v>8300</v>
      </c>
      <c r="F136" s="65">
        <f t="shared" si="23"/>
        <v>0</v>
      </c>
      <c r="G136" s="107">
        <f>F136/Discount!B8</f>
        <v>0</v>
      </c>
      <c r="I136" s="54">
        <v>2023</v>
      </c>
      <c r="K136" s="62">
        <f>'Travel Time Savings'!F20*$D$66</f>
        <v>0</v>
      </c>
      <c r="L136" s="106">
        <f t="shared" si="24"/>
        <v>0</v>
      </c>
      <c r="M136" s="103">
        <v>0</v>
      </c>
      <c r="N136" s="239">
        <f t="shared" si="25"/>
        <v>0</v>
      </c>
      <c r="O136" s="65">
        <f t="shared" si="26"/>
        <v>8300</v>
      </c>
      <c r="P136" s="65">
        <f t="shared" si="27"/>
        <v>0</v>
      </c>
      <c r="Q136" s="107">
        <f>P136/Discount!B8</f>
        <v>0</v>
      </c>
    </row>
    <row r="137" spans="1:17" s="54" customFormat="1">
      <c r="A137" s="54">
        <v>2024</v>
      </c>
      <c r="C137" s="62">
        <f>'Travel Time Savings'!F21*$D$65</f>
        <v>0</v>
      </c>
      <c r="D137" s="106">
        <f t="shared" si="21"/>
        <v>0</v>
      </c>
      <c r="E137" s="65">
        <f t="shared" si="22"/>
        <v>8300</v>
      </c>
      <c r="F137" s="65">
        <f t="shared" si="23"/>
        <v>0</v>
      </c>
      <c r="G137" s="107">
        <f>F137/Discount!B9</f>
        <v>0</v>
      </c>
      <c r="I137" s="54">
        <v>2024</v>
      </c>
      <c r="K137" s="62">
        <f>'Travel Time Savings'!F21*$D$66</f>
        <v>0</v>
      </c>
      <c r="L137" s="106">
        <f t="shared" si="24"/>
        <v>0</v>
      </c>
      <c r="M137" s="103">
        <v>0</v>
      </c>
      <c r="N137" s="239">
        <f t="shared" si="25"/>
        <v>0</v>
      </c>
      <c r="O137" s="65">
        <f t="shared" si="26"/>
        <v>8300</v>
      </c>
      <c r="P137" s="65">
        <f t="shared" si="27"/>
        <v>0</v>
      </c>
      <c r="Q137" s="107">
        <f>P137/Discount!B9</f>
        <v>0</v>
      </c>
    </row>
    <row r="138" spans="1:17" s="54" customFormat="1">
      <c r="A138" s="54">
        <v>2025</v>
      </c>
      <c r="C138" s="62">
        <f>'Travel Time Savings'!F22*$D$65</f>
        <v>0</v>
      </c>
      <c r="D138" s="106">
        <f t="shared" si="21"/>
        <v>0</v>
      </c>
      <c r="E138" s="65">
        <f t="shared" si="22"/>
        <v>8300</v>
      </c>
      <c r="F138" s="65">
        <f t="shared" si="23"/>
        <v>0</v>
      </c>
      <c r="G138" s="107">
        <f>F138/Discount!B10</f>
        <v>0</v>
      </c>
      <c r="I138" s="54">
        <v>2025</v>
      </c>
      <c r="K138" s="62">
        <f>'Travel Time Savings'!F22*$D$66</f>
        <v>0</v>
      </c>
      <c r="L138" s="106">
        <f t="shared" si="24"/>
        <v>0</v>
      </c>
      <c r="M138" s="103">
        <v>0</v>
      </c>
      <c r="N138" s="239">
        <f t="shared" si="25"/>
        <v>0</v>
      </c>
      <c r="O138" s="65">
        <f t="shared" si="26"/>
        <v>8300</v>
      </c>
      <c r="P138" s="65">
        <f t="shared" si="27"/>
        <v>0</v>
      </c>
      <c r="Q138" s="107">
        <f>P138/Discount!B10</f>
        <v>0</v>
      </c>
    </row>
    <row r="139" spans="1:17" s="54" customFormat="1">
      <c r="A139" s="54">
        <v>2026</v>
      </c>
      <c r="C139" s="62">
        <f>'Travel Time Savings'!F23*$D$65</f>
        <v>0</v>
      </c>
      <c r="D139" s="106">
        <f t="shared" si="21"/>
        <v>0</v>
      </c>
      <c r="E139" s="65">
        <f t="shared" si="22"/>
        <v>8300</v>
      </c>
      <c r="F139" s="65">
        <f t="shared" si="23"/>
        <v>0</v>
      </c>
      <c r="G139" s="107">
        <f>F139/Discount!B11</f>
        <v>0</v>
      </c>
      <c r="I139" s="54">
        <v>2026</v>
      </c>
      <c r="K139" s="62">
        <f>'Travel Time Savings'!F23*$D$66</f>
        <v>0</v>
      </c>
      <c r="L139" s="106">
        <f t="shared" si="24"/>
        <v>0</v>
      </c>
      <c r="M139" s="240">
        <f>(J66*$D$60)</f>
        <v>0.17876109240000002</v>
      </c>
      <c r="N139" s="239">
        <f t="shared" si="25"/>
        <v>0.17876109240000002</v>
      </c>
      <c r="O139" s="65">
        <f t="shared" si="26"/>
        <v>8300</v>
      </c>
      <c r="P139" s="65">
        <f t="shared" si="27"/>
        <v>1483.7170669200002</v>
      </c>
      <c r="Q139" s="107">
        <f>P139/Discount!B11</f>
        <v>863.53684154597454</v>
      </c>
    </row>
    <row r="140" spans="1:17" s="54" customFormat="1">
      <c r="A140" s="54">
        <v>2027</v>
      </c>
      <c r="C140" s="62">
        <f>'Travel Time Savings'!F24*$D$65</f>
        <v>0</v>
      </c>
      <c r="D140" s="106">
        <f t="shared" si="21"/>
        <v>0</v>
      </c>
      <c r="E140" s="65">
        <f t="shared" si="22"/>
        <v>8300</v>
      </c>
      <c r="F140" s="65">
        <f t="shared" si="23"/>
        <v>0</v>
      </c>
      <c r="G140" s="107">
        <f>F140/Discount!B12</f>
        <v>0</v>
      </c>
      <c r="I140" s="54">
        <v>2027</v>
      </c>
      <c r="K140" s="62">
        <f>'Travel Time Savings'!F24*$D$66</f>
        <v>0</v>
      </c>
      <c r="L140" s="106">
        <f t="shared" si="24"/>
        <v>0</v>
      </c>
      <c r="M140" s="240">
        <f>(K66*$D$60)</f>
        <v>0.17876109240000002</v>
      </c>
      <c r="N140" s="239">
        <f t="shared" si="25"/>
        <v>0.17876109240000002</v>
      </c>
      <c r="O140" s="65">
        <f t="shared" si="26"/>
        <v>8300</v>
      </c>
      <c r="P140" s="65">
        <f t="shared" si="27"/>
        <v>1483.7170669200002</v>
      </c>
      <c r="Q140" s="107">
        <f>P140/Discount!B12</f>
        <v>807.04377714577049</v>
      </c>
    </row>
    <row r="141" spans="1:17" s="54" customFormat="1">
      <c r="A141" s="54">
        <v>2028</v>
      </c>
      <c r="C141" s="62">
        <f>'Travel Time Savings'!F25*$D$65</f>
        <v>0</v>
      </c>
      <c r="D141" s="106">
        <f t="shared" si="21"/>
        <v>0</v>
      </c>
      <c r="E141" s="65">
        <f t="shared" si="22"/>
        <v>8300</v>
      </c>
      <c r="F141" s="65">
        <f t="shared" si="23"/>
        <v>0</v>
      </c>
      <c r="G141" s="107">
        <f>F141/Discount!B13</f>
        <v>0</v>
      </c>
      <c r="I141" s="54">
        <v>2028</v>
      </c>
      <c r="K141" s="62">
        <f>'Travel Time Savings'!F25*$D$66</f>
        <v>0</v>
      </c>
      <c r="L141" s="106">
        <f t="shared" si="24"/>
        <v>0</v>
      </c>
      <c r="M141" s="240">
        <f>(L66*$D$60)</f>
        <v>0.17876109240000002</v>
      </c>
      <c r="N141" s="239">
        <f t="shared" si="25"/>
        <v>0.17876109240000002</v>
      </c>
      <c r="O141" s="65">
        <f t="shared" si="26"/>
        <v>8300</v>
      </c>
      <c r="P141" s="65">
        <f t="shared" si="27"/>
        <v>1483.7170669200002</v>
      </c>
      <c r="Q141" s="107">
        <f>P141/Discount!B13</f>
        <v>754.24652069698186</v>
      </c>
    </row>
    <row r="142" spans="1:17" s="54" customFormat="1">
      <c r="A142" s="54">
        <v>2029</v>
      </c>
      <c r="B142" s="54">
        <v>1</v>
      </c>
      <c r="C142" s="62">
        <f>'Travel Time Savings'!F26*$D$65</f>
        <v>24382.666024570764</v>
      </c>
      <c r="D142" s="106">
        <f t="shared" si="21"/>
        <v>0.10902709112886819</v>
      </c>
      <c r="E142" s="65">
        <f t="shared" si="22"/>
        <v>8300</v>
      </c>
      <c r="F142" s="65">
        <f t="shared" si="23"/>
        <v>904.924856369606</v>
      </c>
      <c r="G142" s="107">
        <f>F142/Discount!B14</f>
        <v>429.92328053327134</v>
      </c>
      <c r="I142" s="54">
        <v>2029</v>
      </c>
      <c r="J142" s="54">
        <v>1</v>
      </c>
      <c r="K142" s="62">
        <f>'Travel Time Savings'!F26*$D$66</f>
        <v>4135.0720158628783</v>
      </c>
      <c r="L142" s="106">
        <f t="shared" si="24"/>
        <v>0.39176912799889668</v>
      </c>
      <c r="M142" s="103">
        <v>0</v>
      </c>
      <c r="N142" s="239">
        <f t="shared" si="25"/>
        <v>0.39176912799889668</v>
      </c>
      <c r="O142" s="65">
        <f t="shared" si="26"/>
        <v>8300</v>
      </c>
      <c r="P142" s="65">
        <f t="shared" si="27"/>
        <v>3251.6837623908423</v>
      </c>
      <c r="Q142" s="107">
        <f>P142/Discount!B14</f>
        <v>1544.8515316423741</v>
      </c>
    </row>
    <row r="143" spans="1:17" s="54" customFormat="1">
      <c r="A143" s="54">
        <v>2030</v>
      </c>
      <c r="B143" s="54">
        <v>2</v>
      </c>
      <c r="C143" s="62">
        <f>'Travel Time Savings'!F27*$D$65</f>
        <v>24814.239213205685</v>
      </c>
      <c r="D143" s="106">
        <f t="shared" si="21"/>
        <v>0.11095687064184923</v>
      </c>
      <c r="E143" s="65">
        <f t="shared" si="22"/>
        <v>8300</v>
      </c>
      <c r="F143" s="65">
        <f t="shared" si="23"/>
        <v>920.94202632734857</v>
      </c>
      <c r="G143" s="107">
        <f>F143/Discount!B15</f>
        <v>408.90927345673884</v>
      </c>
      <c r="I143" s="54">
        <v>2030</v>
      </c>
      <c r="J143" s="54">
        <v>2</v>
      </c>
      <c r="K143" s="62">
        <f>'Travel Time Savings'!F27*$D$66</f>
        <v>4208.2627905436539</v>
      </c>
      <c r="L143" s="106">
        <f t="shared" si="24"/>
        <v>0.3987034415644774</v>
      </c>
      <c r="M143" s="103">
        <v>0</v>
      </c>
      <c r="N143" s="239">
        <f t="shared" si="25"/>
        <v>0.3987034415644774</v>
      </c>
      <c r="O143" s="65">
        <f t="shared" si="26"/>
        <v>8300</v>
      </c>
      <c r="P143" s="65">
        <f t="shared" si="27"/>
        <v>3309.2385649851626</v>
      </c>
      <c r="Q143" s="107">
        <f>P143/Discount!B15</f>
        <v>1469.3414988340614</v>
      </c>
    </row>
    <row r="144" spans="1:17" s="54" customFormat="1">
      <c r="A144" s="54">
        <v>2031</v>
      </c>
      <c r="B144" s="54">
        <v>3</v>
      </c>
      <c r="C144" s="62">
        <f>'Travel Time Savings'!F28*$D$65</f>
        <v>25253.451247279438</v>
      </c>
      <c r="D144" s="106">
        <f t="shared" si="21"/>
        <v>0.11292080725221001</v>
      </c>
      <c r="E144" s="65">
        <f t="shared" si="22"/>
        <v>8300</v>
      </c>
      <c r="F144" s="65">
        <f t="shared" si="23"/>
        <v>937.24270019334313</v>
      </c>
      <c r="G144" s="107">
        <f>F144/Discount!B16</f>
        <v>388.92239962329279</v>
      </c>
      <c r="I144" s="54">
        <v>2031</v>
      </c>
      <c r="J144" s="54">
        <v>3</v>
      </c>
      <c r="K144" s="62">
        <f>'Travel Time Savings'!F28*$D$66</f>
        <v>4282.7490419362784</v>
      </c>
      <c r="L144" s="106">
        <f t="shared" si="24"/>
        <v>0.40576049248016882</v>
      </c>
      <c r="M144" s="103">
        <v>0</v>
      </c>
      <c r="N144" s="239">
        <f t="shared" si="25"/>
        <v>0.40576049248016882</v>
      </c>
      <c r="O144" s="65">
        <f t="shared" si="26"/>
        <v>8300</v>
      </c>
      <c r="P144" s="65">
        <f t="shared" si="27"/>
        <v>3367.8120875854011</v>
      </c>
      <c r="Q144" s="107">
        <f>P144/Discount!B16</f>
        <v>1397.5222835172192</v>
      </c>
    </row>
    <row r="145" spans="1:17" s="54" customFormat="1">
      <c r="A145" s="54">
        <v>2032</v>
      </c>
      <c r="B145" s="54">
        <v>4</v>
      </c>
      <c r="C145" s="62">
        <f>'Travel Time Savings'!F29*$D$65</f>
        <v>25700.437334356269</v>
      </c>
      <c r="D145" s="106">
        <f t="shared" si="21"/>
        <v>0.11491950554057408</v>
      </c>
      <c r="E145" s="65">
        <f t="shared" si="22"/>
        <v>8300</v>
      </c>
      <c r="F145" s="65">
        <f t="shared" si="23"/>
        <v>953.83189598676483</v>
      </c>
      <c r="G145" s="107">
        <f>F145/Discount!B17</f>
        <v>369.91245429591117</v>
      </c>
      <c r="I145" s="54">
        <v>2032</v>
      </c>
      <c r="J145" s="54">
        <v>4</v>
      </c>
      <c r="K145" s="62">
        <f>'Travel Time Savings'!F29*$D$66</f>
        <v>4358.5536999785481</v>
      </c>
      <c r="L145" s="106">
        <f t="shared" si="24"/>
        <v>0.41294245319706757</v>
      </c>
      <c r="M145" s="103">
        <v>0</v>
      </c>
      <c r="N145" s="239">
        <f t="shared" si="25"/>
        <v>0.41294245319706757</v>
      </c>
      <c r="O145" s="65">
        <f t="shared" si="26"/>
        <v>8300</v>
      </c>
      <c r="P145" s="65">
        <f t="shared" si="27"/>
        <v>3427.4223615356609</v>
      </c>
      <c r="Q145" s="107">
        <f>P145/Discount!B17</f>
        <v>1329.2134840518443</v>
      </c>
    </row>
    <row r="146" spans="1:17" s="54" customFormat="1">
      <c r="A146" s="54">
        <v>2033</v>
      </c>
      <c r="B146" s="54">
        <v>5</v>
      </c>
      <c r="C146" s="62">
        <f>'Travel Time Savings'!F30*$D$65</f>
        <v>26155.335075174407</v>
      </c>
      <c r="D146" s="106">
        <f t="shared" si="21"/>
        <v>0.11695358078864238</v>
      </c>
      <c r="E146" s="65">
        <f t="shared" si="22"/>
        <v>8300</v>
      </c>
      <c r="F146" s="65">
        <f t="shared" si="23"/>
        <v>970.71472054573167</v>
      </c>
      <c r="G146" s="107">
        <f>F146/Discount!B18</f>
        <v>351.83168667004594</v>
      </c>
      <c r="I146" s="54">
        <v>2033</v>
      </c>
      <c r="J146" s="54">
        <v>5</v>
      </c>
      <c r="K146" s="62">
        <f>'Travel Time Savings'!F30*$D$66</f>
        <v>4435.7001004681742</v>
      </c>
      <c r="L146" s="106">
        <f t="shared" si="24"/>
        <v>0.42025153461865622</v>
      </c>
      <c r="M146" s="103">
        <v>0</v>
      </c>
      <c r="N146" s="239">
        <f t="shared" si="25"/>
        <v>0.42025153461865622</v>
      </c>
      <c r="O146" s="65">
        <f t="shared" si="26"/>
        <v>8300</v>
      </c>
      <c r="P146" s="65">
        <f t="shared" si="27"/>
        <v>3488.0877373348467</v>
      </c>
      <c r="Q146" s="107">
        <f>P146/Discount!B18</f>
        <v>1264.2435165603397</v>
      </c>
    </row>
    <row r="147" spans="1:17" s="54" customFormat="1">
      <c r="A147" s="54">
        <v>2034</v>
      </c>
      <c r="B147" s="54">
        <v>6</v>
      </c>
      <c r="C147" s="62">
        <f>'Travel Time Savings'!F31*$D$65</f>
        <v>26618.284506004966</v>
      </c>
      <c r="D147" s="106">
        <f t="shared" si="21"/>
        <v>0.11902365916860122</v>
      </c>
      <c r="E147" s="65">
        <f t="shared" si="22"/>
        <v>8300</v>
      </c>
      <c r="F147" s="65">
        <f t="shared" si="23"/>
        <v>987.89637109939008</v>
      </c>
      <c r="G147" s="107">
        <f>F147/Discount!B19</f>
        <v>334.6346799290705</v>
      </c>
      <c r="I147" s="54">
        <v>2034</v>
      </c>
      <c r="J147" s="54">
        <v>6</v>
      </c>
      <c r="K147" s="62">
        <f>'Travel Time Savings'!F31*$D$66</f>
        <v>4514.2119922464553</v>
      </c>
      <c r="L147" s="106">
        <f t="shared" si="24"/>
        <v>0.42768998678140591</v>
      </c>
      <c r="M147" s="103">
        <v>0</v>
      </c>
      <c r="N147" s="239">
        <f t="shared" si="25"/>
        <v>0.42768998678140591</v>
      </c>
      <c r="O147" s="65">
        <f t="shared" si="26"/>
        <v>8300</v>
      </c>
      <c r="P147" s="65">
        <f t="shared" si="27"/>
        <v>3549.8268902856689</v>
      </c>
      <c r="Q147" s="107">
        <f>P147/Discount!B19</f>
        <v>1202.4491839284638</v>
      </c>
    </row>
    <row r="148" spans="1:17" s="54" customFormat="1">
      <c r="A148" s="54">
        <v>2035</v>
      </c>
      <c r="B148" s="54">
        <v>7</v>
      </c>
      <c r="C148" s="62">
        <f>'Travel Time Savings'!F32*$D$65</f>
        <v>27089.428141761255</v>
      </c>
      <c r="D148" s="106">
        <f t="shared" si="21"/>
        <v>0.12113037793588548</v>
      </c>
      <c r="E148" s="65">
        <f t="shared" si="22"/>
        <v>8300</v>
      </c>
      <c r="F148" s="65">
        <f t="shared" si="23"/>
        <v>1005.3821368678495</v>
      </c>
      <c r="G148" s="107">
        <f>F148/Discount!B20</f>
        <v>318.27823716244399</v>
      </c>
      <c r="I148" s="54">
        <v>2035</v>
      </c>
      <c r="J148" s="54">
        <v>7</v>
      </c>
      <c r="K148" s="62">
        <f>'Travel Time Savings'!F32*$D$66</f>
        <v>4594.1135445092186</v>
      </c>
      <c r="L148" s="106">
        <f t="shared" si="24"/>
        <v>0.43526009954743694</v>
      </c>
      <c r="M148" s="103">
        <v>0</v>
      </c>
      <c r="N148" s="239">
        <f t="shared" si="25"/>
        <v>0.43526009954743694</v>
      </c>
      <c r="O148" s="65">
        <f t="shared" si="26"/>
        <v>8300</v>
      </c>
      <c r="P148" s="65">
        <f t="shared" si="27"/>
        <v>3612.6588262437267</v>
      </c>
      <c r="Q148" s="107">
        <f>P148/Discount!B20</f>
        <v>1143.6752658728954</v>
      </c>
    </row>
    <row r="149" spans="1:17" s="54" customFormat="1">
      <c r="A149" s="54">
        <v>2036</v>
      </c>
      <c r="B149" s="54">
        <v>8</v>
      </c>
      <c r="C149" s="62">
        <f>'Travel Time Savings'!F33*$D$65</f>
        <v>27568.911019870422</v>
      </c>
      <c r="D149" s="106">
        <f t="shared" si="21"/>
        <v>0.1232743856253506</v>
      </c>
      <c r="E149" s="65">
        <f t="shared" si="22"/>
        <v>8300</v>
      </c>
      <c r="F149" s="65">
        <f t="shared" si="23"/>
        <v>1023.17740069041</v>
      </c>
      <c r="G149" s="107">
        <f>F149/Discount!B21</f>
        <v>302.7212728600179</v>
      </c>
      <c r="I149" s="54">
        <v>2036</v>
      </c>
      <c r="J149" s="54">
        <v>8</v>
      </c>
      <c r="K149" s="62">
        <f>'Travel Time Savings'!F33*$D$66</f>
        <v>4675.4293542470305</v>
      </c>
      <c r="L149" s="106">
        <f t="shared" si="24"/>
        <v>0.44296420330942643</v>
      </c>
      <c r="M149" s="103">
        <v>0</v>
      </c>
      <c r="N149" s="239">
        <f t="shared" si="25"/>
        <v>0.44296420330942643</v>
      </c>
      <c r="O149" s="65">
        <f t="shared" si="26"/>
        <v>8300</v>
      </c>
      <c r="P149" s="65">
        <f t="shared" si="27"/>
        <v>3676.6028874682393</v>
      </c>
      <c r="Q149" s="107">
        <f>P149/Discount!B21</f>
        <v>1087.7741290456497</v>
      </c>
    </row>
    <row r="150" spans="1:17" s="54" customFormat="1">
      <c r="A150" s="54">
        <v>2037</v>
      </c>
      <c r="B150" s="54">
        <v>9</v>
      </c>
      <c r="C150" s="62">
        <f>'Travel Time Savings'!F34*$D$65</f>
        <v>28056.880744922142</v>
      </c>
      <c r="D150" s="106">
        <f t="shared" si="21"/>
        <v>0.12545634225091937</v>
      </c>
      <c r="E150" s="65">
        <f t="shared" si="22"/>
        <v>8300</v>
      </c>
      <c r="F150" s="65">
        <f t="shared" si="23"/>
        <v>1041.2876406826308</v>
      </c>
      <c r="G150" s="107">
        <f>F150/Discount!B22</f>
        <v>287.92470970994424</v>
      </c>
      <c r="I150" s="54">
        <v>2037</v>
      </c>
      <c r="J150" s="54">
        <v>9</v>
      </c>
      <c r="K150" s="62">
        <f>'Travel Time Savings'!F34*$D$66</f>
        <v>4758.1844538172054</v>
      </c>
      <c r="L150" s="106">
        <f t="shared" si="24"/>
        <v>0.45080466970800348</v>
      </c>
      <c r="M150" s="103">
        <v>0</v>
      </c>
      <c r="N150" s="239">
        <f t="shared" si="25"/>
        <v>0.45080466970800348</v>
      </c>
      <c r="O150" s="65">
        <f t="shared" si="26"/>
        <v>8300</v>
      </c>
      <c r="P150" s="65">
        <f t="shared" si="27"/>
        <v>3741.6787585764287</v>
      </c>
      <c r="Q150" s="107">
        <f>P150/Discount!B22</f>
        <v>1034.6053561960357</v>
      </c>
    </row>
    <row r="151" spans="1:17" s="54" customFormat="1">
      <c r="A151" s="54">
        <v>2038</v>
      </c>
      <c r="B151" s="54">
        <v>10</v>
      </c>
      <c r="C151" s="62">
        <f>'Travel Time Savings'!F35*$D$65</f>
        <v>28553.487534107251</v>
      </c>
      <c r="D151" s="106">
        <f t="shared" si="21"/>
        <v>0.12767691950876059</v>
      </c>
      <c r="E151" s="65">
        <f t="shared" si="22"/>
        <v>8300</v>
      </c>
      <c r="F151" s="65">
        <f t="shared" si="23"/>
        <v>1059.7184319227129</v>
      </c>
      <c r="G151" s="107">
        <f>F151/Discount!B23</f>
        <v>273.85138044094407</v>
      </c>
      <c r="I151" s="54">
        <v>2038</v>
      </c>
      <c r="J151" s="54">
        <v>10</v>
      </c>
      <c r="K151" s="62">
        <f>'Travel Time Savings'!F35*$D$66</f>
        <v>4842.4043186497674</v>
      </c>
      <c r="L151" s="106">
        <f t="shared" si="24"/>
        <v>0.45878391236183491</v>
      </c>
      <c r="M151" s="103">
        <v>0</v>
      </c>
      <c r="N151" s="239">
        <f t="shared" si="25"/>
        <v>0.45878391236183491</v>
      </c>
      <c r="O151" s="65">
        <f t="shared" si="26"/>
        <v>8300</v>
      </c>
      <c r="P151" s="65">
        <f t="shared" si="27"/>
        <v>3807.9064726032298</v>
      </c>
      <c r="Q151" s="107">
        <f>P151/Discount!B23</f>
        <v>984.03539345860281</v>
      </c>
    </row>
    <row r="152" spans="1:17" s="54" customFormat="1">
      <c r="A152" s="54">
        <v>2039</v>
      </c>
      <c r="B152" s="54">
        <v>11</v>
      </c>
      <c r="C152" s="62">
        <f>'Travel Time Savings'!F36*$D$65</f>
        <v>29058.884263460986</v>
      </c>
      <c r="D152" s="106">
        <f t="shared" si="21"/>
        <v>0.12993680098406582</v>
      </c>
      <c r="E152" s="65">
        <f t="shared" si="22"/>
        <v>8300</v>
      </c>
      <c r="F152" s="65">
        <f t="shared" si="23"/>
        <v>1078.4754481677462</v>
      </c>
      <c r="G152" s="107">
        <f>F152/Discount!B24</f>
        <v>260.46593446238234</v>
      </c>
      <c r="I152" s="54">
        <v>2039</v>
      </c>
      <c r="J152" s="54">
        <v>11</v>
      </c>
      <c r="K152" s="62">
        <f>'Travel Time Savings'!F36*$D$66</f>
        <v>4928.1148750898747</v>
      </c>
      <c r="L152" s="106">
        <f t="shared" si="24"/>
        <v>0.46690438761064001</v>
      </c>
      <c r="M152" s="103">
        <v>0</v>
      </c>
      <c r="N152" s="239">
        <f t="shared" si="25"/>
        <v>0.46690438761064001</v>
      </c>
      <c r="O152" s="65">
        <f t="shared" si="26"/>
        <v>8300</v>
      </c>
      <c r="P152" s="65">
        <f t="shared" si="27"/>
        <v>3875.3064171683122</v>
      </c>
      <c r="Q152" s="107">
        <f>P152/Discount!B24</f>
        <v>935.93721488114159</v>
      </c>
    </row>
    <row r="153" spans="1:17" s="54" customFormat="1">
      <c r="A153" s="54">
        <v>2040</v>
      </c>
      <c r="B153" s="54">
        <v>12</v>
      </c>
      <c r="C153" s="62">
        <f>'Travel Time Savings'!F37*$D$65</f>
        <v>29573.226514924256</v>
      </c>
      <c r="D153" s="106">
        <f t="shared" si="21"/>
        <v>0.13223668236148384</v>
      </c>
      <c r="E153" s="65">
        <f t="shared" si="22"/>
        <v>8300</v>
      </c>
      <c r="F153" s="65">
        <f t="shared" si="23"/>
        <v>1097.5644636003158</v>
      </c>
      <c r="G153" s="107">
        <f>F153/Discount!B25</f>
        <v>247.73474906763235</v>
      </c>
      <c r="I153" s="54">
        <v>2040</v>
      </c>
      <c r="J153" s="54">
        <v>12</v>
      </c>
      <c r="K153" s="62">
        <f>'Travel Time Savings'!F37*$D$66</f>
        <v>5015.3425083789671</v>
      </c>
      <c r="L153" s="106">
        <f t="shared" si="24"/>
        <v>0.47516859527134847</v>
      </c>
      <c r="M153" s="103">
        <v>0</v>
      </c>
      <c r="N153" s="239">
        <f t="shared" si="25"/>
        <v>0.47516859527134847</v>
      </c>
      <c r="O153" s="65">
        <f t="shared" si="26"/>
        <v>8300</v>
      </c>
      <c r="P153" s="65">
        <f t="shared" si="27"/>
        <v>3943.8993407521925</v>
      </c>
      <c r="Q153" s="107">
        <f>P153/Discount!B25</f>
        <v>890.19000335003557</v>
      </c>
    </row>
    <row r="154" spans="1:17" s="54" customFormat="1">
      <c r="A154" s="54">
        <v>2041</v>
      </c>
      <c r="B154" s="54">
        <v>13</v>
      </c>
      <c r="C154" s="62">
        <f>'Travel Time Savings'!F38*$D$65</f>
        <v>30096.672624238377</v>
      </c>
      <c r="D154" s="106">
        <f t="shared" si="21"/>
        <v>0.13457727163928193</v>
      </c>
      <c r="E154" s="65">
        <f t="shared" si="22"/>
        <v>8300</v>
      </c>
      <c r="F154" s="65">
        <f t="shared" si="23"/>
        <v>1116.99135460604</v>
      </c>
      <c r="G154" s="107">
        <f>F154/Discount!B26</f>
        <v>235.62584497769078</v>
      </c>
      <c r="I154" s="54">
        <v>2041</v>
      </c>
      <c r="J154" s="54">
        <v>13</v>
      </c>
      <c r="K154" s="62">
        <f>'Travel Time Savings'!F38*$D$66</f>
        <v>5104.1140707772684</v>
      </c>
      <c r="L154" s="106">
        <f t="shared" si="24"/>
        <v>0.48357907940765071</v>
      </c>
      <c r="M154" s="103">
        <v>0</v>
      </c>
      <c r="N154" s="239">
        <f t="shared" si="25"/>
        <v>0.48357907940765071</v>
      </c>
      <c r="O154" s="65">
        <f t="shared" si="26"/>
        <v>8300</v>
      </c>
      <c r="P154" s="65">
        <f t="shared" si="27"/>
        <v>4013.706359083501</v>
      </c>
      <c r="Q154" s="107">
        <f>P154/Discount!B26</f>
        <v>846.67884711152328</v>
      </c>
    </row>
    <row r="155" spans="1:17" s="54" customFormat="1">
      <c r="A155" s="54">
        <v>2042</v>
      </c>
      <c r="B155" s="54">
        <v>14</v>
      </c>
      <c r="C155" s="62">
        <f>'Travel Time Savings'!F39*$D$65</f>
        <v>30629.383729687404</v>
      </c>
      <c r="D155" s="106">
        <f t="shared" si="21"/>
        <v>0.13695928934729723</v>
      </c>
      <c r="E155" s="65">
        <f t="shared" si="22"/>
        <v>8300</v>
      </c>
      <c r="F155" s="65">
        <f t="shared" si="23"/>
        <v>1136.7621015825671</v>
      </c>
      <c r="G155" s="107">
        <f>F155/Discount!B27</f>
        <v>224.10880601289338</v>
      </c>
      <c r="I155" s="54">
        <v>2042</v>
      </c>
      <c r="J155" s="54">
        <v>14</v>
      </c>
      <c r="K155" s="62">
        <f>'Travel Time Savings'!F39*$D$66</f>
        <v>5194.4568898300276</v>
      </c>
      <c r="L155" s="106">
        <f t="shared" si="24"/>
        <v>0.4921384291131663</v>
      </c>
      <c r="M155" s="103">
        <v>0</v>
      </c>
      <c r="N155" s="239">
        <f t="shared" si="25"/>
        <v>0.4921384291131663</v>
      </c>
      <c r="O155" s="65">
        <f t="shared" si="26"/>
        <v>8300</v>
      </c>
      <c r="P155" s="65">
        <f t="shared" si="27"/>
        <v>4084.7489616392804</v>
      </c>
      <c r="Q155" s="107">
        <f>P155/Discount!B27</f>
        <v>805.2944511265398</v>
      </c>
    </row>
    <row r="156" spans="1:17" s="54" customFormat="1">
      <c r="A156" s="54">
        <v>2043</v>
      </c>
      <c r="B156" s="54">
        <v>15</v>
      </c>
      <c r="C156" s="62">
        <f>'Travel Time Savings'!F40*$D$65</f>
        <v>31171.523821702875</v>
      </c>
      <c r="D156" s="106">
        <f t="shared" si="21"/>
        <v>0.13938346876874444</v>
      </c>
      <c r="E156" s="65">
        <f t="shared" si="22"/>
        <v>8300</v>
      </c>
      <c r="F156" s="65">
        <f t="shared" si="23"/>
        <v>1156.8827907805789</v>
      </c>
      <c r="G156" s="107">
        <f>F156/Discount!B28</f>
        <v>213.15470269095485</v>
      </c>
      <c r="I156" s="54">
        <v>2043</v>
      </c>
      <c r="J156" s="54">
        <v>15</v>
      </c>
      <c r="K156" s="62">
        <f>'Travel Time Savings'!F40*$D$66</f>
        <v>5286.398776780019</v>
      </c>
      <c r="L156" s="106">
        <f t="shared" si="24"/>
        <v>0.50084927930846934</v>
      </c>
      <c r="M156" s="103">
        <v>0</v>
      </c>
      <c r="N156" s="239">
        <f t="shared" si="25"/>
        <v>0.50084927930846934</v>
      </c>
      <c r="O156" s="65">
        <f t="shared" si="26"/>
        <v>8300</v>
      </c>
      <c r="P156" s="65">
        <f t="shared" si="27"/>
        <v>4157.0490182602953</v>
      </c>
      <c r="Q156" s="107">
        <f>P156/Discount!B28</f>
        <v>765.93286253409292</v>
      </c>
    </row>
    <row r="157" spans="1:17" s="54" customFormat="1">
      <c r="A157" s="54">
        <v>2044</v>
      </c>
      <c r="B157" s="54">
        <v>16</v>
      </c>
      <c r="C157" s="62">
        <f>'Travel Time Savings'!F41*$D$65</f>
        <v>31723.259793347024</v>
      </c>
      <c r="D157" s="106">
        <f t="shared" si="21"/>
        <v>0.14185055616595124</v>
      </c>
      <c r="E157" s="65">
        <f t="shared" si="22"/>
        <v>8300</v>
      </c>
      <c r="F157" s="65">
        <f t="shared" si="23"/>
        <v>1177.3596161773953</v>
      </c>
      <c r="G157" s="107">
        <f>F157/Discount!B29</f>
        <v>202.73601955942502</v>
      </c>
      <c r="I157" s="54">
        <v>2044</v>
      </c>
      <c r="J157" s="54">
        <v>16</v>
      </c>
      <c r="K157" s="62">
        <f>'Travel Time Savings'!F41*$D$66</f>
        <v>5379.9680351290272</v>
      </c>
      <c r="L157" s="106">
        <f t="shared" si="24"/>
        <v>0.50971431155222935</v>
      </c>
      <c r="M157" s="103">
        <v>0</v>
      </c>
      <c r="N157" s="239">
        <f t="shared" si="25"/>
        <v>0.50971431155222935</v>
      </c>
      <c r="O157" s="65">
        <f t="shared" si="26"/>
        <v>8300</v>
      </c>
      <c r="P157" s="65">
        <f t="shared" si="27"/>
        <v>4230.628785883504</v>
      </c>
      <c r="Q157" s="107">
        <f>P157/Discount!B29</f>
        <v>728.49520953359502</v>
      </c>
    </row>
    <row r="158" spans="1:17" s="54" customFormat="1">
      <c r="A158" s="54">
        <v>2045</v>
      </c>
      <c r="B158" s="54">
        <v>17</v>
      </c>
      <c r="C158" s="62">
        <f>'Travel Time Savings'!F42*$D$65</f>
        <v>32284.761491689274</v>
      </c>
      <c r="D158" s="106">
        <f t="shared" si="21"/>
        <v>0.14436131101008862</v>
      </c>
      <c r="E158" s="65">
        <f t="shared" si="22"/>
        <v>8300</v>
      </c>
      <c r="F158" s="65">
        <f t="shared" si="23"/>
        <v>1198.1988813837356</v>
      </c>
      <c r="G158" s="107">
        <f>F158/Discount!B30</f>
        <v>192.82658608002512</v>
      </c>
      <c r="I158" s="54">
        <v>2045</v>
      </c>
      <c r="J158" s="54">
        <v>17</v>
      </c>
      <c r="K158" s="62">
        <f>'Travel Time Savings'!F42*$D$66</f>
        <v>5475.1934693508119</v>
      </c>
      <c r="L158" s="106">
        <f t="shared" si="24"/>
        <v>0.51873625486670394</v>
      </c>
      <c r="M158" s="103">
        <v>0</v>
      </c>
      <c r="N158" s="239">
        <f t="shared" si="25"/>
        <v>0.51873625486670394</v>
      </c>
      <c r="O158" s="65">
        <f t="shared" si="26"/>
        <v>8300</v>
      </c>
      <c r="P158" s="65">
        <f t="shared" si="27"/>
        <v>4305.5109153936428</v>
      </c>
      <c r="Q158" s="107">
        <f>P158/Discount!B30</f>
        <v>692.88745303022392</v>
      </c>
    </row>
    <row r="159" spans="1:17" s="54" customFormat="1">
      <c r="A159" s="54">
        <v>2046</v>
      </c>
      <c r="B159" s="54">
        <v>18</v>
      </c>
      <c r="C159" s="62">
        <f>'Travel Time Savings'!F43*$D$65</f>
        <v>32856.201770092157</v>
      </c>
      <c r="D159" s="106">
        <f t="shared" si="21"/>
        <v>0.14691650621496707</v>
      </c>
      <c r="E159" s="65">
        <f t="shared" si="22"/>
        <v>8300</v>
      </c>
      <c r="F159" s="65">
        <f t="shared" si="23"/>
        <v>1219.4070015842267</v>
      </c>
      <c r="G159" s="107">
        <f>F159/Discount!B31</f>
        <v>183.40151089125368</v>
      </c>
      <c r="I159" s="54">
        <v>2046</v>
      </c>
      <c r="J159" s="54">
        <v>18</v>
      </c>
      <c r="K159" s="62">
        <f>'Travel Time Savings'!F43*$D$66</f>
        <v>5572.1043937583181</v>
      </c>
      <c r="L159" s="106">
        <f t="shared" si="24"/>
        <v>0.52791788657784433</v>
      </c>
      <c r="M159" s="103">
        <v>0</v>
      </c>
      <c r="N159" s="239">
        <f t="shared" si="25"/>
        <v>0.52791788657784433</v>
      </c>
      <c r="O159" s="65">
        <f t="shared" si="26"/>
        <v>8300</v>
      </c>
      <c r="P159" s="65">
        <f t="shared" si="27"/>
        <v>4381.7184585961077</v>
      </c>
      <c r="Q159" s="107">
        <f>P159/Discount!B31</f>
        <v>659.02015041949403</v>
      </c>
    </row>
    <row r="160" spans="1:17" s="54" customFormat="1">
      <c r="A160" s="54">
        <v>2047</v>
      </c>
      <c r="B160" s="54">
        <v>19</v>
      </c>
      <c r="C160" s="62">
        <f>'Travel Time Savings'!F44*$D$65</f>
        <v>33437.756541422787</v>
      </c>
      <c r="D160" s="106">
        <f t="shared" si="21"/>
        <v>0.14951692837497199</v>
      </c>
      <c r="E160" s="65">
        <f t="shared" si="22"/>
        <v>8300</v>
      </c>
      <c r="F160" s="65">
        <f t="shared" si="23"/>
        <v>1240.9905055122674</v>
      </c>
      <c r="G160" s="107">
        <f>F160/Discount!B32</f>
        <v>174.4371192841391</v>
      </c>
      <c r="I160" s="54">
        <v>2047</v>
      </c>
      <c r="J160" s="54">
        <v>19</v>
      </c>
      <c r="K160" s="62">
        <f>'Travel Time Savings'!F44*$D$66</f>
        <v>5670.7306415278408</v>
      </c>
      <c r="L160" s="106">
        <f t="shared" si="24"/>
        <v>0.53726203317027221</v>
      </c>
      <c r="M160" s="103">
        <v>0</v>
      </c>
      <c r="N160" s="239">
        <f t="shared" si="25"/>
        <v>0.53726203317027221</v>
      </c>
      <c r="O160" s="65">
        <f t="shared" si="26"/>
        <v>8300</v>
      </c>
      <c r="P160" s="65">
        <f t="shared" si="27"/>
        <v>4459.2748753132591</v>
      </c>
      <c r="Q160" s="107">
        <f>P160/Discount!B32</f>
        <v>626.8082309176815</v>
      </c>
    </row>
    <row r="161" spans="1:19" s="54" customFormat="1">
      <c r="A161" s="54">
        <v>2048</v>
      </c>
      <c r="B161" s="54">
        <v>20</v>
      </c>
      <c r="C161" s="62">
        <f>'Travel Time Savings'!F45*$D$65</f>
        <v>34029.604832205994</v>
      </c>
      <c r="D161" s="106">
        <f t="shared" si="21"/>
        <v>0.15216337800720911</v>
      </c>
      <c r="E161" s="65">
        <f t="shared" si="22"/>
        <v>8300</v>
      </c>
      <c r="F161" s="65">
        <f t="shared" si="23"/>
        <v>1262.9560374598357</v>
      </c>
      <c r="G161" s="107">
        <f>F161/Discount!B33</f>
        <v>165.91089373408275</v>
      </c>
      <c r="I161" s="54">
        <v>2048</v>
      </c>
      <c r="J161" s="54">
        <v>20</v>
      </c>
      <c r="K161" s="62">
        <f>'Travel Time Savings'!F45*$D$66</f>
        <v>5771.1025738828876</v>
      </c>
      <c r="L161" s="106">
        <f t="shared" si="24"/>
        <v>0.54677157115738639</v>
      </c>
      <c r="M161" s="103">
        <v>0</v>
      </c>
      <c r="N161" s="239">
        <f t="shared" si="25"/>
        <v>0.54677157115738639</v>
      </c>
      <c r="O161" s="65">
        <f t="shared" si="26"/>
        <v>8300</v>
      </c>
      <c r="P161" s="65">
        <f t="shared" si="27"/>
        <v>4538.204040606307</v>
      </c>
      <c r="Q161" s="107">
        <f>P161/Discount!B33</f>
        <v>596.1707818737616</v>
      </c>
    </row>
    <row r="162" spans="1:19" s="54" customFormat="1">
      <c r="A162" s="54">
        <v>2049</v>
      </c>
      <c r="B162" s="54">
        <v>21</v>
      </c>
      <c r="C162" s="62">
        <f>'Travel Time Savings'!F46*$D$65</f>
        <v>34631.928837736014</v>
      </c>
      <c r="D162" s="106">
        <f t="shared" si="21"/>
        <v>0.15485666979793661</v>
      </c>
      <c r="E162" s="65">
        <f t="shared" si="22"/>
        <v>8300</v>
      </c>
      <c r="F162" s="65">
        <f t="shared" si="23"/>
        <v>1285.3103593228739</v>
      </c>
      <c r="G162" s="107">
        <f>F162/Discount!B34</f>
        <v>157.8014173394167</v>
      </c>
      <c r="I162" s="54">
        <v>2049</v>
      </c>
      <c r="J162" s="54">
        <v>21</v>
      </c>
      <c r="K162" s="62">
        <f>'Travel Time Savings'!F46*$D$66</f>
        <v>5873.2510894406096</v>
      </c>
      <c r="L162" s="106">
        <f t="shared" si="24"/>
        <v>0.55644942796687169</v>
      </c>
      <c r="M162" s="103">
        <v>0</v>
      </c>
      <c r="N162" s="239">
        <f t="shared" si="25"/>
        <v>0.55644942796687169</v>
      </c>
      <c r="O162" s="65">
        <f t="shared" si="26"/>
        <v>8300</v>
      </c>
      <c r="P162" s="65">
        <f t="shared" si="27"/>
        <v>4618.5302521250351</v>
      </c>
      <c r="Q162" s="107">
        <f>P162/Discount!B34</f>
        <v>567.0308455260996</v>
      </c>
    </row>
    <row r="163" spans="1:19" s="54" customFormat="1">
      <c r="A163" s="54">
        <v>2050</v>
      </c>
      <c r="B163" s="54">
        <v>22</v>
      </c>
      <c r="C163" s="62">
        <f>'Travel Time Savings'!F47*$D$65</f>
        <v>35244.91397816399</v>
      </c>
      <c r="D163" s="106">
        <f t="shared" si="21"/>
        <v>0.15759763285336029</v>
      </c>
      <c r="E163" s="65">
        <f t="shared" si="22"/>
        <v>8300</v>
      </c>
      <c r="F163" s="65">
        <f t="shared" si="23"/>
        <v>1308.0603526828904</v>
      </c>
      <c r="G163" s="107">
        <f>F163/Discount!B35</f>
        <v>150.08832002460244</v>
      </c>
      <c r="I163" s="54">
        <v>2050</v>
      </c>
      <c r="J163" s="54">
        <v>22</v>
      </c>
      <c r="K163" s="62">
        <f>'Travel Time Savings'!F47*$D$66</f>
        <v>5977.2076337237168</v>
      </c>
      <c r="L163" s="106">
        <f t="shared" si="24"/>
        <v>0.56629858284188606</v>
      </c>
      <c r="M163" s="103">
        <v>0</v>
      </c>
      <c r="N163" s="239">
        <f t="shared" si="25"/>
        <v>0.56629858284188606</v>
      </c>
      <c r="O163" s="65">
        <f t="shared" si="26"/>
        <v>8300</v>
      </c>
      <c r="P163" s="65">
        <f t="shared" si="27"/>
        <v>4700.2782375876541</v>
      </c>
      <c r="Q163" s="107">
        <f>P163/Discount!B35</f>
        <v>539.31522569337608</v>
      </c>
    </row>
    <row r="164" spans="1:19" s="54" customFormat="1">
      <c r="A164" s="54">
        <v>2051</v>
      </c>
      <c r="B164" s="54">
        <v>23</v>
      </c>
      <c r="C164" s="62">
        <f>'Travel Time Savings'!F48*$D$65</f>
        <v>35868.748955577474</v>
      </c>
      <c r="D164" s="106">
        <f t="shared" si="21"/>
        <v>0.16038711095486469</v>
      </c>
      <c r="E164" s="65">
        <f t="shared" si="22"/>
        <v>8300</v>
      </c>
      <c r="F164" s="65">
        <f t="shared" si="23"/>
        <v>1331.2130209253769</v>
      </c>
      <c r="G164" s="107">
        <f>F164/Discount!B36</f>
        <v>142.75222737293254</v>
      </c>
      <c r="I164" s="54">
        <v>2051</v>
      </c>
      <c r="J164" s="54">
        <v>23</v>
      </c>
      <c r="K164" s="62">
        <f>'Travel Time Savings'!F48*$D$66</f>
        <v>6083.0042088406244</v>
      </c>
      <c r="L164" s="106">
        <f t="shared" si="24"/>
        <v>0.57632206775818728</v>
      </c>
      <c r="M164" s="103">
        <v>0</v>
      </c>
      <c r="N164" s="239">
        <f t="shared" si="25"/>
        <v>0.57632206775818728</v>
      </c>
      <c r="O164" s="65">
        <f t="shared" si="26"/>
        <v>8300</v>
      </c>
      <c r="P164" s="65">
        <f t="shared" si="27"/>
        <v>4783.4731623929547</v>
      </c>
      <c r="Q164" s="107">
        <f>P164/Discount!B36</f>
        <v>512.95430391415766</v>
      </c>
    </row>
    <row r="165" spans="1:19" s="54" customFormat="1">
      <c r="A165" s="54">
        <v>2052</v>
      </c>
      <c r="B165" s="54">
        <v>24</v>
      </c>
      <c r="C165" s="62">
        <f>'Travel Time Savings'!F49*$D$65</f>
        <v>36503.62581209121</v>
      </c>
      <c r="D165" s="106">
        <f t="shared" si="21"/>
        <v>0.16322596281876586</v>
      </c>
      <c r="E165" s="65">
        <f t="shared" si="22"/>
        <v>8300</v>
      </c>
      <c r="F165" s="65">
        <f t="shared" si="23"/>
        <v>1354.7754913957567</v>
      </c>
      <c r="G165" s="107">
        <f>F165/Discount!B37</f>
        <v>135.77471196021824</v>
      </c>
      <c r="I165" s="54">
        <v>2052</v>
      </c>
      <c r="J165" s="54">
        <v>24</v>
      </c>
      <c r="K165" s="62">
        <f>'Travel Time Savings'!F49*$D$66</f>
        <v>6190.6733833371063</v>
      </c>
      <c r="L165" s="106">
        <f t="shared" si="24"/>
        <v>0.58652296835750739</v>
      </c>
      <c r="M165" s="103">
        <v>0</v>
      </c>
      <c r="N165" s="239">
        <f t="shared" si="25"/>
        <v>0.58652296835750739</v>
      </c>
      <c r="O165" s="65">
        <f t="shared" si="26"/>
        <v>8300</v>
      </c>
      <c r="P165" s="65">
        <f t="shared" si="27"/>
        <v>4868.1406373673117</v>
      </c>
      <c r="Q165" s="107">
        <f>P165/Discount!B37</f>
        <v>487.88186457330693</v>
      </c>
    </row>
    <row r="166" spans="1:19" s="54" customFormat="1">
      <c r="A166" s="54">
        <v>2053</v>
      </c>
      <c r="B166" s="54">
        <v>25</v>
      </c>
      <c r="C166" s="62">
        <f>'Travel Time Savings'!F50*$D$65</f>
        <v>37149.739988965215</v>
      </c>
      <c r="D166" s="106">
        <f t="shared" si="21"/>
        <v>0.16611506236065798</v>
      </c>
      <c r="E166" s="65">
        <f t="shared" si="22"/>
        <v>8300</v>
      </c>
      <c r="F166" s="65">
        <f t="shared" si="23"/>
        <v>1378.7550175934612</v>
      </c>
      <c r="G166" s="107">
        <f>F166/Discount!B38</f>
        <v>129.13824706720939</v>
      </c>
      <c r="I166" s="54">
        <v>2053</v>
      </c>
      <c r="J166" s="54">
        <v>25</v>
      </c>
      <c r="K166" s="62">
        <f>'Travel Time Savings'!F50*$D$66</f>
        <v>6300.2483022221704</v>
      </c>
      <c r="L166" s="106">
        <f t="shared" si="24"/>
        <v>0.596904424897435</v>
      </c>
      <c r="M166" s="103">
        <v>0</v>
      </c>
      <c r="N166" s="239">
        <f t="shared" si="25"/>
        <v>0.596904424897435</v>
      </c>
      <c r="O166" s="65">
        <f t="shared" si="26"/>
        <v>8300</v>
      </c>
      <c r="P166" s="65">
        <f t="shared" si="27"/>
        <v>4954.3067266487105</v>
      </c>
      <c r="Q166" s="107">
        <f>P166/Discount!B38</f>
        <v>464.03492857593847</v>
      </c>
    </row>
    <row r="167" spans="1:19" s="54" customFormat="1">
      <c r="A167" s="54">
        <v>2054</v>
      </c>
      <c r="B167" s="54">
        <v>26</v>
      </c>
      <c r="C167" s="62">
        <f>'Travel Time Savings'!F51*$D$65</f>
        <v>37807.290386769848</v>
      </c>
      <c r="D167" s="106">
        <f t="shared" si="21"/>
        <v>0.16905529896444138</v>
      </c>
      <c r="E167" s="65">
        <f t="shared" si="22"/>
        <v>8300</v>
      </c>
      <c r="F167" s="65">
        <f t="shared" si="23"/>
        <v>1403.1589814048634</v>
      </c>
      <c r="G167" s="107">
        <f>F167/Discount!B39</f>
        <v>122.82616265448486</v>
      </c>
      <c r="I167" s="54">
        <v>2054</v>
      </c>
      <c r="J167" s="54">
        <v>26</v>
      </c>
      <c r="K167" s="62">
        <f>'Travel Time Savings'!F51*$D$66</f>
        <v>6411.7626971714935</v>
      </c>
      <c r="L167" s="106">
        <f t="shared" si="24"/>
        <v>0.60746963321811887</v>
      </c>
      <c r="M167" s="103">
        <v>0</v>
      </c>
      <c r="N167" s="239">
        <f t="shared" si="25"/>
        <v>0.60746963321811887</v>
      </c>
      <c r="O167" s="65">
        <f t="shared" si="26"/>
        <v>8300</v>
      </c>
      <c r="P167" s="65">
        <f t="shared" si="27"/>
        <v>5041.997955710387</v>
      </c>
      <c r="Q167" s="107">
        <f>P167/Discount!B39</f>
        <v>441.35359515115147</v>
      </c>
    </row>
    <row r="168" spans="1:19" s="54" customFormat="1">
      <c r="A168" s="54">
        <v>2055</v>
      </c>
      <c r="B168" s="54">
        <v>27</v>
      </c>
      <c r="C168" s="62">
        <f>'Travel Time Savings'!F52*$D$65</f>
        <v>38476.479426615719</v>
      </c>
      <c r="D168" s="106">
        <f t="shared" si="21"/>
        <v>0.17204757775611221</v>
      </c>
      <c r="E168" s="65">
        <f t="shared" si="22"/>
        <v>8300</v>
      </c>
      <c r="F168" s="65">
        <f t="shared" si="23"/>
        <v>1427.9948953757314</v>
      </c>
      <c r="G168" s="107">
        <f>F168/Discount!B40</f>
        <v>116.82260348922374</v>
      </c>
      <c r="I168" s="54">
        <v>2055</v>
      </c>
      <c r="J168" s="54">
        <v>27</v>
      </c>
      <c r="K168" s="62">
        <f>'Travel Time Savings'!F52*$D$66</f>
        <v>6525.2508969114369</v>
      </c>
      <c r="L168" s="106">
        <f t="shared" si="24"/>
        <v>0.6182218457260803</v>
      </c>
      <c r="M168" s="103">
        <v>0</v>
      </c>
      <c r="N168" s="239">
        <f t="shared" si="25"/>
        <v>0.6182218457260803</v>
      </c>
      <c r="O168" s="65">
        <f t="shared" si="26"/>
        <v>8300</v>
      </c>
      <c r="P168" s="65">
        <f t="shared" si="27"/>
        <v>5131.2413195264662</v>
      </c>
      <c r="Q168" s="107">
        <f>P168/Discount!B40</f>
        <v>419.78089138815631</v>
      </c>
    </row>
    <row r="169" spans="1:19" s="54" customFormat="1">
      <c r="A169" s="54">
        <v>2056</v>
      </c>
      <c r="B169" s="54">
        <v>28</v>
      </c>
      <c r="C169" s="62">
        <f>'Travel Time Savings'!F53*$D$65</f>
        <v>39157.513112466833</v>
      </c>
      <c r="D169" s="106">
        <f t="shared" si="21"/>
        <v>0.17509281988239547</v>
      </c>
      <c r="E169" s="65">
        <f t="shared" si="22"/>
        <v>8300</v>
      </c>
      <c r="F169" s="65">
        <f t="shared" si="23"/>
        <v>1453.2704050238824</v>
      </c>
      <c r="G169" s="107">
        <f>F169/Discount!B41</f>
        <v>111.11248931867574</v>
      </c>
      <c r="I169" s="54">
        <v>2056</v>
      </c>
      <c r="J169" s="54">
        <v>28</v>
      </c>
      <c r="K169" s="62">
        <f>'Travel Time Savings'!F53*$D$66</f>
        <v>6640.7478377867728</v>
      </c>
      <c r="L169" s="106">
        <f t="shared" si="24"/>
        <v>0.62916437239543221</v>
      </c>
      <c r="M169" s="103">
        <v>0</v>
      </c>
      <c r="N169" s="239">
        <f t="shared" si="25"/>
        <v>0.62916437239543221</v>
      </c>
      <c r="O169" s="65">
        <f t="shared" si="26"/>
        <v>8300</v>
      </c>
      <c r="P169" s="65">
        <f t="shared" si="27"/>
        <v>5222.0642908820873</v>
      </c>
      <c r="Q169" s="107">
        <f>P169/Discount!B41</f>
        <v>399.26262912684763</v>
      </c>
    </row>
    <row r="170" spans="1:19" s="54" customFormat="1">
      <c r="A170" s="54">
        <v>2057</v>
      </c>
      <c r="B170" s="54">
        <v>29</v>
      </c>
      <c r="C170" s="62">
        <f>'Travel Time Savings'!F54*$D$65</f>
        <v>39850.601094557453</v>
      </c>
      <c r="D170" s="106">
        <f t="shared" si="21"/>
        <v>0.17819196279431368</v>
      </c>
      <c r="E170" s="65">
        <f t="shared" si="22"/>
        <v>8300</v>
      </c>
      <c r="F170" s="65">
        <f t="shared" si="23"/>
        <v>1478.9932911928036</v>
      </c>
      <c r="G170" s="107">
        <f>F170/Discount!B42</f>
        <v>105.68147699029549</v>
      </c>
      <c r="I170" s="54">
        <v>2057</v>
      </c>
      <c r="J170" s="54">
        <v>29</v>
      </c>
      <c r="K170" s="62">
        <f>'Travel Time Savings'!F54*$D$66</f>
        <v>6758.289074515591</v>
      </c>
      <c r="L170" s="106">
        <f t="shared" si="24"/>
        <v>0.64030058178683058</v>
      </c>
      <c r="M170" s="103">
        <v>0</v>
      </c>
      <c r="N170" s="239">
        <f t="shared" si="25"/>
        <v>0.64030058178683058</v>
      </c>
      <c r="O170" s="65">
        <f t="shared" si="26"/>
        <v>8300</v>
      </c>
      <c r="P170" s="65">
        <f t="shared" si="27"/>
        <v>5314.4948288306941</v>
      </c>
      <c r="Q170" s="107">
        <f>P170/Discount!B42</f>
        <v>379.74726884335729</v>
      </c>
    </row>
    <row r="171" spans="1:19" s="54" customFormat="1">
      <c r="A171" s="54">
        <v>2058</v>
      </c>
      <c r="B171" s="54">
        <v>30</v>
      </c>
      <c r="C171" s="62">
        <f>'Travel Time Savings'!F55*$D$65</f>
        <v>40555.956733931147</v>
      </c>
      <c r="D171" s="106">
        <f t="shared" si="21"/>
        <v>0.18134596053577315</v>
      </c>
      <c r="E171" s="65">
        <f t="shared" si="22"/>
        <v>8300</v>
      </c>
      <c r="F171" s="65">
        <f t="shared" si="23"/>
        <v>1505.1714724469171</v>
      </c>
      <c r="G171" s="107">
        <f>F171/Discount!B43</f>
        <v>100.51592442338672</v>
      </c>
      <c r="I171" s="54">
        <v>2058</v>
      </c>
      <c r="J171" s="54">
        <v>30</v>
      </c>
      <c r="K171" s="62">
        <f>'Travel Time Savings'!F55*$D$66</f>
        <v>6877.9107911345209</v>
      </c>
      <c r="L171" s="106">
        <f t="shared" si="24"/>
        <v>0.65163390208445793</v>
      </c>
      <c r="M171" s="103">
        <v>0</v>
      </c>
      <c r="N171" s="239">
        <f t="shared" si="25"/>
        <v>0.65163390208445793</v>
      </c>
      <c r="O171" s="65">
        <f t="shared" si="26"/>
        <v>8300</v>
      </c>
      <c r="P171" s="65">
        <f t="shared" si="27"/>
        <v>5408.5613873010007</v>
      </c>
      <c r="Q171" s="107">
        <f>P171/Discount!B43</f>
        <v>361.18579018867757</v>
      </c>
    </row>
    <row r="172" spans="1:19" s="54" customFormat="1" ht="32.25" customHeight="1" thickBot="1">
      <c r="A172" s="306" t="s">
        <v>387</v>
      </c>
      <c r="B172" s="306"/>
      <c r="C172" s="306"/>
      <c r="D172" s="108">
        <f>SUM(D131:D171)</f>
        <v>4.2671577914343439</v>
      </c>
      <c r="E172" s="68"/>
      <c r="F172" s="70">
        <f>SUM(F131:F171)</f>
        <v>35417.409668905057</v>
      </c>
      <c r="G172" s="70">
        <f>SUM(G131:G171)</f>
        <v>6839.825122082606</v>
      </c>
      <c r="I172" s="306" t="s">
        <v>387</v>
      </c>
      <c r="J172" s="306"/>
      <c r="K172" s="306"/>
      <c r="L172" s="108">
        <f>SUM(L131:L171)</f>
        <v>15.333259556635891</v>
      </c>
      <c r="M172" s="108">
        <f>SUM(M131:M171)</f>
        <v>0.53628327720000002</v>
      </c>
      <c r="N172" s="108">
        <f>SUM(N131:N171)</f>
        <v>15.86954283383589</v>
      </c>
      <c r="O172" s="68"/>
      <c r="P172" s="70">
        <f>SUM(P131:P171)</f>
        <v>131717.20552083792</v>
      </c>
      <c r="Q172" s="70">
        <f>SUM(Q131:Q171)</f>
        <v>27002.501330255371</v>
      </c>
      <c r="S172" s="105">
        <f>D172+N172</f>
        <v>20.136700625270233</v>
      </c>
    </row>
    <row r="173" spans="1:19" s="54" customFormat="1" ht="15.75" thickTop="1">
      <c r="D173" s="71"/>
      <c r="F173" s="71"/>
    </row>
    <row r="174" spans="1:19" s="54" customFormat="1" ht="15.75" thickBot="1">
      <c r="A174" s="353" t="s">
        <v>637</v>
      </c>
      <c r="B174" s="353"/>
      <c r="C174" s="353"/>
      <c r="D174" s="353"/>
      <c r="E174" s="353"/>
      <c r="F174" s="353"/>
      <c r="G174" s="353"/>
      <c r="I174" s="353" t="s">
        <v>643</v>
      </c>
      <c r="J174" s="353"/>
      <c r="K174" s="353"/>
      <c r="L174" s="353"/>
      <c r="M174" s="242"/>
      <c r="N174" s="242"/>
      <c r="O174" s="242"/>
    </row>
    <row r="175" spans="1:19" s="54" customFormat="1" ht="90">
      <c r="A175" s="61" t="s">
        <v>25</v>
      </c>
      <c r="B175" s="61" t="s">
        <v>26</v>
      </c>
      <c r="C175" s="61" t="s">
        <v>353</v>
      </c>
      <c r="D175" s="61" t="s">
        <v>356</v>
      </c>
      <c r="E175" s="61" t="s">
        <v>357</v>
      </c>
      <c r="F175" s="61" t="s">
        <v>27</v>
      </c>
      <c r="G175" s="61" t="s">
        <v>28</v>
      </c>
      <c r="I175" s="61" t="s">
        <v>25</v>
      </c>
      <c r="J175" s="61" t="s">
        <v>26</v>
      </c>
      <c r="K175" s="61" t="s">
        <v>353</v>
      </c>
      <c r="L175" s="61" t="s">
        <v>671</v>
      </c>
      <c r="M175" s="61" t="s">
        <v>670</v>
      </c>
      <c r="N175" s="61" t="s">
        <v>669</v>
      </c>
      <c r="O175" s="61" t="s">
        <v>357</v>
      </c>
      <c r="P175" s="61" t="s">
        <v>27</v>
      </c>
      <c r="Q175" s="61" t="s">
        <v>28</v>
      </c>
    </row>
    <row r="176" spans="1:19" s="54" customFormat="1">
      <c r="A176" s="54">
        <v>2018</v>
      </c>
      <c r="C176" s="62">
        <f>'Travel Time Savings'!F15*$D$65</f>
        <v>0</v>
      </c>
      <c r="D176" s="106">
        <f>(C176*$D$51)*$D$60</f>
        <v>0</v>
      </c>
      <c r="E176" s="65">
        <f>$D$68</f>
        <v>2000</v>
      </c>
      <c r="F176" s="65">
        <f t="shared" ref="F176" si="28">D176*E176</f>
        <v>0</v>
      </c>
      <c r="G176" s="107">
        <f>F176/Discount!B3</f>
        <v>0</v>
      </c>
      <c r="I176" s="54">
        <v>2018</v>
      </c>
      <c r="K176" s="62">
        <f>'Travel Time Savings'!F15*$D$66</f>
        <v>0</v>
      </c>
      <c r="L176" s="106">
        <f t="shared" ref="L176" si="29">(K176*$D$77)*$D$60</f>
        <v>0</v>
      </c>
      <c r="M176" s="103">
        <v>0</v>
      </c>
      <c r="N176" s="239">
        <f>L176+M176</f>
        <v>0</v>
      </c>
      <c r="O176" s="65">
        <f>$D$68</f>
        <v>2000</v>
      </c>
      <c r="P176" s="65">
        <f>N176*O176</f>
        <v>0</v>
      </c>
      <c r="Q176" s="107">
        <f>P176/Discount!B3</f>
        <v>0</v>
      </c>
    </row>
    <row r="177" spans="1:17" s="54" customFormat="1">
      <c r="A177" s="54">
        <v>2019</v>
      </c>
      <c r="C177" s="62">
        <f>'Travel Time Savings'!F16*$D$65</f>
        <v>0</v>
      </c>
      <c r="D177" s="106">
        <f t="shared" ref="D177:D216" si="30">(C177*$D$51)*$D$60</f>
        <v>0</v>
      </c>
      <c r="E177" s="65">
        <f t="shared" ref="E177:E216" si="31">$D$68</f>
        <v>2000</v>
      </c>
      <c r="F177" s="65">
        <f t="shared" ref="F177:F216" si="32">D177*E177</f>
        <v>0</v>
      </c>
      <c r="G177" s="107">
        <f>F177/Discount!B4</f>
        <v>0</v>
      </c>
      <c r="I177" s="54">
        <v>2019</v>
      </c>
      <c r="K177" s="62">
        <f>'Travel Time Savings'!F16*$D$66</f>
        <v>0</v>
      </c>
      <c r="L177" s="106">
        <f t="shared" ref="L177:L216" si="33">(K177*$D$77)*$D$60</f>
        <v>0</v>
      </c>
      <c r="M177" s="103">
        <v>0</v>
      </c>
      <c r="N177" s="239">
        <f t="shared" ref="N177:N216" si="34">L177+M177</f>
        <v>0</v>
      </c>
      <c r="O177" s="65">
        <f t="shared" ref="O177:O216" si="35">$D$68</f>
        <v>2000</v>
      </c>
      <c r="P177" s="65">
        <f t="shared" ref="P177:P216" si="36">N177*O177</f>
        <v>0</v>
      </c>
      <c r="Q177" s="107">
        <f>P177/Discount!B4</f>
        <v>0</v>
      </c>
    </row>
    <row r="178" spans="1:17" s="54" customFormat="1">
      <c r="A178" s="54">
        <v>2020</v>
      </c>
      <c r="C178" s="62">
        <f>'Travel Time Savings'!F17*$D$65</f>
        <v>0</v>
      </c>
      <c r="D178" s="106">
        <f t="shared" si="30"/>
        <v>0</v>
      </c>
      <c r="E178" s="65">
        <f t="shared" si="31"/>
        <v>2000</v>
      </c>
      <c r="F178" s="65">
        <f t="shared" si="32"/>
        <v>0</v>
      </c>
      <c r="G178" s="107">
        <f>F178/Discount!B5</f>
        <v>0</v>
      </c>
      <c r="I178" s="54">
        <v>2020</v>
      </c>
      <c r="K178" s="62">
        <f>'Travel Time Savings'!F17*$D$66</f>
        <v>0</v>
      </c>
      <c r="L178" s="106">
        <f t="shared" si="33"/>
        <v>0</v>
      </c>
      <c r="M178" s="103">
        <v>0</v>
      </c>
      <c r="N178" s="239">
        <f t="shared" si="34"/>
        <v>0</v>
      </c>
      <c r="O178" s="65">
        <f t="shared" si="35"/>
        <v>2000</v>
      </c>
      <c r="P178" s="65">
        <f t="shared" si="36"/>
        <v>0</v>
      </c>
      <c r="Q178" s="107">
        <f>P178/Discount!B5</f>
        <v>0</v>
      </c>
    </row>
    <row r="179" spans="1:17" s="54" customFormat="1">
      <c r="A179" s="54">
        <v>2021</v>
      </c>
      <c r="C179" s="62">
        <f>'Travel Time Savings'!F18*$D$65</f>
        <v>0</v>
      </c>
      <c r="D179" s="106">
        <f t="shared" si="30"/>
        <v>0</v>
      </c>
      <c r="E179" s="65">
        <f t="shared" si="31"/>
        <v>2000</v>
      </c>
      <c r="F179" s="65">
        <f t="shared" si="32"/>
        <v>0</v>
      </c>
      <c r="G179" s="107">
        <f>F179/Discount!B6</f>
        <v>0</v>
      </c>
      <c r="I179" s="54">
        <v>2021</v>
      </c>
      <c r="K179" s="62">
        <f>'Travel Time Savings'!F18*$D$66</f>
        <v>0</v>
      </c>
      <c r="L179" s="106">
        <f t="shared" si="33"/>
        <v>0</v>
      </c>
      <c r="M179" s="103">
        <v>0</v>
      </c>
      <c r="N179" s="239">
        <f t="shared" si="34"/>
        <v>0</v>
      </c>
      <c r="O179" s="65">
        <f t="shared" si="35"/>
        <v>2000</v>
      </c>
      <c r="P179" s="65">
        <f t="shared" si="36"/>
        <v>0</v>
      </c>
      <c r="Q179" s="107">
        <f>P179/Discount!B6</f>
        <v>0</v>
      </c>
    </row>
    <row r="180" spans="1:17" s="54" customFormat="1">
      <c r="A180" s="54">
        <v>2022</v>
      </c>
      <c r="C180" s="62">
        <f>'Travel Time Savings'!F19*$D$65</f>
        <v>0</v>
      </c>
      <c r="D180" s="106">
        <f t="shared" si="30"/>
        <v>0</v>
      </c>
      <c r="E180" s="65">
        <f t="shared" si="31"/>
        <v>2000</v>
      </c>
      <c r="F180" s="65">
        <f t="shared" si="32"/>
        <v>0</v>
      </c>
      <c r="G180" s="107">
        <f>F180/Discount!B7</f>
        <v>0</v>
      </c>
      <c r="I180" s="54">
        <v>2022</v>
      </c>
      <c r="K180" s="62">
        <f>'Travel Time Savings'!F19*$D$66</f>
        <v>0</v>
      </c>
      <c r="L180" s="106">
        <f t="shared" si="33"/>
        <v>0</v>
      </c>
      <c r="M180" s="103">
        <v>0</v>
      </c>
      <c r="N180" s="239">
        <f t="shared" si="34"/>
        <v>0</v>
      </c>
      <c r="O180" s="65">
        <f t="shared" si="35"/>
        <v>2000</v>
      </c>
      <c r="P180" s="65">
        <f t="shared" si="36"/>
        <v>0</v>
      </c>
      <c r="Q180" s="107">
        <f>P180/Discount!B7</f>
        <v>0</v>
      </c>
    </row>
    <row r="181" spans="1:17" s="54" customFormat="1">
      <c r="A181" s="54">
        <v>2023</v>
      </c>
      <c r="C181" s="62">
        <f>'Travel Time Savings'!F20*$D$65</f>
        <v>0</v>
      </c>
      <c r="D181" s="106">
        <f t="shared" si="30"/>
        <v>0</v>
      </c>
      <c r="E181" s="65">
        <f t="shared" si="31"/>
        <v>2000</v>
      </c>
      <c r="F181" s="65">
        <f t="shared" si="32"/>
        <v>0</v>
      </c>
      <c r="G181" s="107">
        <f>F181/Discount!B8</f>
        <v>0</v>
      </c>
      <c r="I181" s="54">
        <v>2023</v>
      </c>
      <c r="K181" s="62">
        <f>'Travel Time Savings'!F20*$D$66</f>
        <v>0</v>
      </c>
      <c r="L181" s="106">
        <f t="shared" si="33"/>
        <v>0</v>
      </c>
      <c r="M181" s="103">
        <v>0</v>
      </c>
      <c r="N181" s="239">
        <f t="shared" si="34"/>
        <v>0</v>
      </c>
      <c r="O181" s="65">
        <f t="shared" si="35"/>
        <v>2000</v>
      </c>
      <c r="P181" s="65">
        <f t="shared" si="36"/>
        <v>0</v>
      </c>
      <c r="Q181" s="107">
        <f>P181/Discount!B8</f>
        <v>0</v>
      </c>
    </row>
    <row r="182" spans="1:17" s="54" customFormat="1">
      <c r="A182" s="54">
        <v>2024</v>
      </c>
      <c r="C182" s="62">
        <f>'Travel Time Savings'!F21*$D$65</f>
        <v>0</v>
      </c>
      <c r="D182" s="106">
        <f t="shared" si="30"/>
        <v>0</v>
      </c>
      <c r="E182" s="65">
        <f t="shared" si="31"/>
        <v>2000</v>
      </c>
      <c r="F182" s="65">
        <f t="shared" si="32"/>
        <v>0</v>
      </c>
      <c r="G182" s="107">
        <f>F182/Discount!B9</f>
        <v>0</v>
      </c>
      <c r="I182" s="54">
        <v>2024</v>
      </c>
      <c r="K182" s="62">
        <f>'Travel Time Savings'!F21*$D$66</f>
        <v>0</v>
      </c>
      <c r="L182" s="106">
        <f t="shared" si="33"/>
        <v>0</v>
      </c>
      <c r="M182" s="103">
        <v>0</v>
      </c>
      <c r="N182" s="239">
        <f t="shared" si="34"/>
        <v>0</v>
      </c>
      <c r="O182" s="65">
        <f t="shared" si="35"/>
        <v>2000</v>
      </c>
      <c r="P182" s="65">
        <f t="shared" si="36"/>
        <v>0</v>
      </c>
      <c r="Q182" s="107">
        <f>P182/Discount!B9</f>
        <v>0</v>
      </c>
    </row>
    <row r="183" spans="1:17" s="54" customFormat="1">
      <c r="A183" s="54">
        <v>2025</v>
      </c>
      <c r="C183" s="62">
        <f>'Travel Time Savings'!F22*$D$65</f>
        <v>0</v>
      </c>
      <c r="D183" s="106">
        <f t="shared" si="30"/>
        <v>0</v>
      </c>
      <c r="E183" s="65">
        <f t="shared" si="31"/>
        <v>2000</v>
      </c>
      <c r="F183" s="65">
        <f t="shared" si="32"/>
        <v>0</v>
      </c>
      <c r="G183" s="107">
        <f>F183/Discount!B10</f>
        <v>0</v>
      </c>
      <c r="I183" s="54">
        <v>2025</v>
      </c>
      <c r="K183" s="62">
        <f>'Travel Time Savings'!F22*$D$66</f>
        <v>0</v>
      </c>
      <c r="L183" s="106">
        <f t="shared" si="33"/>
        <v>0</v>
      </c>
      <c r="M183" s="103">
        <v>0</v>
      </c>
      <c r="N183" s="239">
        <f t="shared" si="34"/>
        <v>0</v>
      </c>
      <c r="O183" s="65">
        <f t="shared" si="35"/>
        <v>2000</v>
      </c>
      <c r="P183" s="65">
        <f t="shared" si="36"/>
        <v>0</v>
      </c>
      <c r="Q183" s="107">
        <f>P183/Discount!B10</f>
        <v>0</v>
      </c>
    </row>
    <row r="184" spans="1:17" s="54" customFormat="1">
      <c r="A184" s="54">
        <v>2026</v>
      </c>
      <c r="C184" s="62">
        <f>'Travel Time Savings'!F23*$D$65</f>
        <v>0</v>
      </c>
      <c r="D184" s="106">
        <f t="shared" si="30"/>
        <v>0</v>
      </c>
      <c r="E184" s="65">
        <f t="shared" si="31"/>
        <v>2000</v>
      </c>
      <c r="F184" s="65">
        <f t="shared" si="32"/>
        <v>0</v>
      </c>
      <c r="G184" s="107">
        <f>F184/Discount!B11</f>
        <v>0</v>
      </c>
      <c r="I184" s="54">
        <v>2026</v>
      </c>
      <c r="K184" s="62">
        <f>'Travel Time Savings'!F23*$D$66</f>
        <v>0</v>
      </c>
      <c r="L184" s="106">
        <f t="shared" si="33"/>
        <v>0</v>
      </c>
      <c r="M184" s="240">
        <f>(J64*$D$60)</f>
        <v>9.2773956000000019E-3</v>
      </c>
      <c r="N184" s="239">
        <f t="shared" si="34"/>
        <v>9.2773956000000019E-3</v>
      </c>
      <c r="O184" s="65">
        <f t="shared" si="35"/>
        <v>2000</v>
      </c>
      <c r="P184" s="65">
        <f t="shared" si="36"/>
        <v>18.554791200000004</v>
      </c>
      <c r="Q184" s="107">
        <f>P184/Discount!B11</f>
        <v>10.799057411703258</v>
      </c>
    </row>
    <row r="185" spans="1:17" s="54" customFormat="1">
      <c r="A185" s="54">
        <v>2027</v>
      </c>
      <c r="C185" s="62">
        <f>'Travel Time Savings'!F24*$D$65</f>
        <v>0</v>
      </c>
      <c r="D185" s="106">
        <f t="shared" si="30"/>
        <v>0</v>
      </c>
      <c r="E185" s="65">
        <f t="shared" si="31"/>
        <v>2000</v>
      </c>
      <c r="F185" s="65">
        <f t="shared" si="32"/>
        <v>0</v>
      </c>
      <c r="G185" s="107">
        <f>F185/Discount!B12</f>
        <v>0</v>
      </c>
      <c r="I185" s="54">
        <v>2027</v>
      </c>
      <c r="K185" s="62">
        <f>'Travel Time Savings'!F24*$D$66</f>
        <v>0</v>
      </c>
      <c r="L185" s="106">
        <f t="shared" si="33"/>
        <v>0</v>
      </c>
      <c r="M185" s="240">
        <f>(K64*$D$60)</f>
        <v>9.2773956000000019E-3</v>
      </c>
      <c r="N185" s="239">
        <f t="shared" si="34"/>
        <v>9.2773956000000019E-3</v>
      </c>
      <c r="O185" s="65">
        <f t="shared" si="35"/>
        <v>2000</v>
      </c>
      <c r="P185" s="65">
        <f t="shared" si="36"/>
        <v>18.554791200000004</v>
      </c>
      <c r="Q185" s="107">
        <f>P185/Discount!B12</f>
        <v>10.092577020283416</v>
      </c>
    </row>
    <row r="186" spans="1:17" s="54" customFormat="1">
      <c r="A186" s="54">
        <v>2028</v>
      </c>
      <c r="C186" s="62">
        <f>'Travel Time Savings'!F25*$D$65</f>
        <v>0</v>
      </c>
      <c r="D186" s="106">
        <f t="shared" si="30"/>
        <v>0</v>
      </c>
      <c r="E186" s="65">
        <f t="shared" si="31"/>
        <v>2000</v>
      </c>
      <c r="F186" s="65">
        <f t="shared" si="32"/>
        <v>0</v>
      </c>
      <c r="G186" s="107">
        <f>F186/Discount!B13</f>
        <v>0</v>
      </c>
      <c r="I186" s="54">
        <v>2028</v>
      </c>
      <c r="K186" s="62">
        <f>'Travel Time Savings'!F25*$D$66</f>
        <v>0</v>
      </c>
      <c r="L186" s="106">
        <f t="shared" si="33"/>
        <v>0</v>
      </c>
      <c r="M186" s="240">
        <f>(L64*$D$60)</f>
        <v>9.2773956000000019E-3</v>
      </c>
      <c r="N186" s="239">
        <f t="shared" si="34"/>
        <v>9.2773956000000019E-3</v>
      </c>
      <c r="O186" s="65">
        <f t="shared" si="35"/>
        <v>2000</v>
      </c>
      <c r="P186" s="65">
        <f t="shared" si="36"/>
        <v>18.554791200000004</v>
      </c>
      <c r="Q186" s="107">
        <f>P186/Discount!B13</f>
        <v>9.432314972227493</v>
      </c>
    </row>
    <row r="187" spans="1:17" s="54" customFormat="1">
      <c r="A187" s="54">
        <v>2029</v>
      </c>
      <c r="B187" s="54">
        <v>1</v>
      </c>
      <c r="C187" s="62">
        <f>'Travel Time Savings'!F26*$D$65</f>
        <v>24382.666024570764</v>
      </c>
      <c r="D187" s="106">
        <f t="shared" si="30"/>
        <v>0.10843703061107357</v>
      </c>
      <c r="E187" s="65">
        <f t="shared" si="31"/>
        <v>2000</v>
      </c>
      <c r="F187" s="65">
        <f t="shared" si="32"/>
        <v>216.87406122214713</v>
      </c>
      <c r="G187" s="107">
        <f>F187/Discount!B14</f>
        <v>103.03530420996255</v>
      </c>
      <c r="I187" s="54">
        <v>2029</v>
      </c>
      <c r="J187" s="54">
        <v>1</v>
      </c>
      <c r="K187" s="62">
        <f>'Travel Time Savings'!F26*$D$66</f>
        <v>4135.0720158628783</v>
      </c>
      <c r="L187" s="106">
        <f t="shared" si="33"/>
        <v>2.0332149101997772E-2</v>
      </c>
      <c r="M187" s="103">
        <v>0</v>
      </c>
      <c r="N187" s="239">
        <f t="shared" si="34"/>
        <v>2.0332149101997772E-2</v>
      </c>
      <c r="O187" s="65">
        <f t="shared" si="35"/>
        <v>2000</v>
      </c>
      <c r="P187" s="65">
        <f t="shared" si="36"/>
        <v>40.664298203995543</v>
      </c>
      <c r="Q187" s="107">
        <f>P187/Discount!B14</f>
        <v>19.31931514687496</v>
      </c>
    </row>
    <row r="188" spans="1:17" s="54" customFormat="1">
      <c r="A188" s="54">
        <v>2030</v>
      </c>
      <c r="B188" s="54">
        <v>2</v>
      </c>
      <c r="C188" s="62">
        <f>'Travel Time Savings'!F27*$D$65</f>
        <v>24814.239213205685</v>
      </c>
      <c r="D188" s="106">
        <f t="shared" si="30"/>
        <v>0.11035636605288966</v>
      </c>
      <c r="E188" s="65">
        <f t="shared" si="31"/>
        <v>2000</v>
      </c>
      <c r="F188" s="65">
        <f t="shared" si="32"/>
        <v>220.71273210577934</v>
      </c>
      <c r="G188" s="107">
        <f>F188/Discount!B15</f>
        <v>97.999092611662618</v>
      </c>
      <c r="I188" s="54">
        <v>2030</v>
      </c>
      <c r="J188" s="54">
        <v>2</v>
      </c>
      <c r="K188" s="62">
        <f>'Travel Time Savings'!F27*$D$66</f>
        <v>4208.2627905436539</v>
      </c>
      <c r="L188" s="106">
        <f t="shared" si="33"/>
        <v>2.0692028141103144E-2</v>
      </c>
      <c r="M188" s="103">
        <v>0</v>
      </c>
      <c r="N188" s="239">
        <f t="shared" si="34"/>
        <v>2.0692028141103144E-2</v>
      </c>
      <c r="O188" s="65">
        <f t="shared" si="35"/>
        <v>2000</v>
      </c>
      <c r="P188" s="65">
        <f t="shared" si="36"/>
        <v>41.384056282206288</v>
      </c>
      <c r="Q188" s="107">
        <f>P188/Discount!B15</f>
        <v>18.375015911191273</v>
      </c>
    </row>
    <row r="189" spans="1:17" s="54" customFormat="1">
      <c r="A189" s="54">
        <v>2031</v>
      </c>
      <c r="B189" s="54">
        <v>3</v>
      </c>
      <c r="C189" s="62">
        <f>'Travel Time Savings'!F28*$D$65</f>
        <v>25253.451247279438</v>
      </c>
      <c r="D189" s="106">
        <f t="shared" si="30"/>
        <v>0.11230967373202586</v>
      </c>
      <c r="E189" s="65">
        <f t="shared" si="31"/>
        <v>2000</v>
      </c>
      <c r="F189" s="65">
        <f t="shared" si="32"/>
        <v>224.61934746405171</v>
      </c>
      <c r="G189" s="107">
        <f>F189/Discount!B16</f>
        <v>93.209043505503814</v>
      </c>
      <c r="I189" s="54">
        <v>2031</v>
      </c>
      <c r="J189" s="54">
        <v>3</v>
      </c>
      <c r="K189" s="62">
        <f>'Travel Time Savings'!F28*$D$66</f>
        <v>4282.7490419362784</v>
      </c>
      <c r="L189" s="106">
        <f t="shared" si="33"/>
        <v>2.1058277039200678E-2</v>
      </c>
      <c r="M189" s="103">
        <v>0</v>
      </c>
      <c r="N189" s="239">
        <f t="shared" si="34"/>
        <v>2.1058277039200678E-2</v>
      </c>
      <c r="O189" s="65">
        <f t="shared" si="35"/>
        <v>2000</v>
      </c>
      <c r="P189" s="65">
        <f t="shared" si="36"/>
        <v>42.116554078401357</v>
      </c>
      <c r="Q189" s="107">
        <f>P189/Discount!B16</f>
        <v>17.476872610111556</v>
      </c>
    </row>
    <row r="190" spans="1:17" s="54" customFormat="1">
      <c r="A190" s="54">
        <v>2032</v>
      </c>
      <c r="B190" s="54">
        <v>4</v>
      </c>
      <c r="C190" s="62">
        <f>'Travel Time Savings'!F29*$D$65</f>
        <v>25700.437334356269</v>
      </c>
      <c r="D190" s="106">
        <f t="shared" si="30"/>
        <v>0.11429755495708264</v>
      </c>
      <c r="E190" s="65">
        <f t="shared" si="31"/>
        <v>2000</v>
      </c>
      <c r="F190" s="65">
        <f t="shared" si="32"/>
        <v>228.59510991416528</v>
      </c>
      <c r="G190" s="107">
        <f>F190/Discount!B17</f>
        <v>88.653124836963713</v>
      </c>
      <c r="I190" s="54">
        <v>2032</v>
      </c>
      <c r="J190" s="54">
        <v>4</v>
      </c>
      <c r="K190" s="62">
        <f>'Travel Time Savings'!F29*$D$66</f>
        <v>4358.5536999785481</v>
      </c>
      <c r="L190" s="106">
        <f t="shared" si="33"/>
        <v>2.1431008542794523E-2</v>
      </c>
      <c r="M190" s="103">
        <v>0</v>
      </c>
      <c r="N190" s="239">
        <f t="shared" si="34"/>
        <v>2.1431008542794523E-2</v>
      </c>
      <c r="O190" s="65">
        <f t="shared" si="35"/>
        <v>2000</v>
      </c>
      <c r="P190" s="65">
        <f t="shared" si="36"/>
        <v>42.862017085589045</v>
      </c>
      <c r="Q190" s="107">
        <f>P190/Discount!B17</f>
        <v>16.622629210570583</v>
      </c>
    </row>
    <row r="191" spans="1:17" s="54" customFormat="1">
      <c r="A191" s="54">
        <v>2033</v>
      </c>
      <c r="B191" s="54">
        <v>5</v>
      </c>
      <c r="C191" s="62">
        <f>'Travel Time Savings'!F30*$D$65</f>
        <v>26155.335075174407</v>
      </c>
      <c r="D191" s="106">
        <f t="shared" si="30"/>
        <v>0.11632062167982316</v>
      </c>
      <c r="E191" s="65">
        <f t="shared" si="31"/>
        <v>2000</v>
      </c>
      <c r="F191" s="65">
        <f t="shared" si="32"/>
        <v>232.6412433596463</v>
      </c>
      <c r="G191" s="107">
        <f>F191/Discount!B18</f>
        <v>84.319892660353332</v>
      </c>
      <c r="I191" s="54">
        <v>2033</v>
      </c>
      <c r="J191" s="54">
        <v>5</v>
      </c>
      <c r="K191" s="62">
        <f>'Travel Time Savings'!F30*$D$66</f>
        <v>4435.7001004681742</v>
      </c>
      <c r="L191" s="106">
        <f t="shared" si="33"/>
        <v>2.1810337394002011E-2</v>
      </c>
      <c r="M191" s="103">
        <v>0</v>
      </c>
      <c r="N191" s="239">
        <f t="shared" si="34"/>
        <v>2.1810337394002011E-2</v>
      </c>
      <c r="O191" s="65">
        <f t="shared" si="35"/>
        <v>2000</v>
      </c>
      <c r="P191" s="65">
        <f t="shared" si="36"/>
        <v>43.620674788004024</v>
      </c>
      <c r="Q191" s="107">
        <f>P191/Discount!B18</f>
        <v>15.81013995102589</v>
      </c>
    </row>
    <row r="192" spans="1:17" s="54" customFormat="1">
      <c r="A192" s="54">
        <v>2034</v>
      </c>
      <c r="B192" s="54">
        <v>6</v>
      </c>
      <c r="C192" s="62">
        <f>'Travel Time Savings'!F31*$D$65</f>
        <v>26618.284506004966</v>
      </c>
      <c r="D192" s="106">
        <f t="shared" si="30"/>
        <v>0.11837949668355589</v>
      </c>
      <c r="E192" s="65">
        <f t="shared" si="31"/>
        <v>2000</v>
      </c>
      <c r="F192" s="65">
        <f t="shared" si="32"/>
        <v>236.7589933671118</v>
      </c>
      <c r="G192" s="107">
        <f>F192/Discount!B19</f>
        <v>80.198462392935994</v>
      </c>
      <c r="I192" s="54">
        <v>2034</v>
      </c>
      <c r="J192" s="54">
        <v>6</v>
      </c>
      <c r="K192" s="62">
        <f>'Travel Time Savings'!F31*$D$66</f>
        <v>4514.2119922464553</v>
      </c>
      <c r="L192" s="106">
        <f t="shared" si="33"/>
        <v>2.2196380365875821E-2</v>
      </c>
      <c r="M192" s="103">
        <v>0</v>
      </c>
      <c r="N192" s="239">
        <f t="shared" si="34"/>
        <v>2.2196380365875821E-2</v>
      </c>
      <c r="O192" s="65">
        <f t="shared" si="35"/>
        <v>2000</v>
      </c>
      <c r="P192" s="65">
        <f t="shared" si="36"/>
        <v>44.392760731751643</v>
      </c>
      <c r="Q192" s="107">
        <f>P192/Discount!B19</f>
        <v>15.037363951550496</v>
      </c>
    </row>
    <row r="193" spans="1:17" s="54" customFormat="1">
      <c r="A193" s="54">
        <v>2035</v>
      </c>
      <c r="B193" s="54">
        <v>7</v>
      </c>
      <c r="C193" s="62">
        <f>'Travel Time Savings'!F32*$D$65</f>
        <v>27089.428141761255</v>
      </c>
      <c r="D193" s="106">
        <f t="shared" si="30"/>
        <v>0.12047481377485483</v>
      </c>
      <c r="E193" s="65">
        <f t="shared" si="31"/>
        <v>2000</v>
      </c>
      <c r="F193" s="65">
        <f t="shared" si="32"/>
        <v>240.94962754970967</v>
      </c>
      <c r="G193" s="107">
        <f>F193/Discount!B20</f>
        <v>76.2784814741037</v>
      </c>
      <c r="I193" s="54">
        <v>2035</v>
      </c>
      <c r="J193" s="54">
        <v>7</v>
      </c>
      <c r="K193" s="62">
        <f>'Travel Time Savings'!F32*$D$66</f>
        <v>4594.1135445092186</v>
      </c>
      <c r="L193" s="106">
        <f t="shared" si="33"/>
        <v>2.2589256298351828E-2</v>
      </c>
      <c r="M193" s="103">
        <v>0</v>
      </c>
      <c r="N193" s="239">
        <f t="shared" si="34"/>
        <v>2.2589256298351828E-2</v>
      </c>
      <c r="O193" s="65">
        <f t="shared" si="35"/>
        <v>2000</v>
      </c>
      <c r="P193" s="65">
        <f t="shared" si="36"/>
        <v>45.178512596703655</v>
      </c>
      <c r="Q193" s="107">
        <f>P193/Discount!B20</f>
        <v>14.302360087376583</v>
      </c>
    </row>
    <row r="194" spans="1:17" s="54" customFormat="1">
      <c r="A194" s="54">
        <v>2036</v>
      </c>
      <c r="B194" s="54">
        <v>8</v>
      </c>
      <c r="C194" s="62">
        <f>'Travel Time Savings'!F33*$D$65</f>
        <v>27568.911019870422</v>
      </c>
      <c r="D194" s="106">
        <f t="shared" si="30"/>
        <v>0.12260721797866973</v>
      </c>
      <c r="E194" s="65">
        <f t="shared" si="31"/>
        <v>2000</v>
      </c>
      <c r="F194" s="65">
        <f t="shared" si="32"/>
        <v>245.21443595733948</v>
      </c>
      <c r="G194" s="107">
        <f>F194/Discount!B21</f>
        <v>72.550103360930208</v>
      </c>
      <c r="I194" s="54">
        <v>2036</v>
      </c>
      <c r="J194" s="54">
        <v>8</v>
      </c>
      <c r="K194" s="62">
        <f>'Travel Time Savings'!F33*$D$66</f>
        <v>4675.4293542470305</v>
      </c>
      <c r="L194" s="106">
        <f t="shared" si="33"/>
        <v>2.2989086134832647E-2</v>
      </c>
      <c r="M194" s="103">
        <v>0</v>
      </c>
      <c r="N194" s="239">
        <f t="shared" si="34"/>
        <v>2.2989086134832647E-2</v>
      </c>
      <c r="O194" s="65">
        <f t="shared" si="35"/>
        <v>2000</v>
      </c>
      <c r="P194" s="65">
        <f t="shared" si="36"/>
        <v>45.978172269665293</v>
      </c>
      <c r="Q194" s="107">
        <f>P194/Discount!B21</f>
        <v>13.603282113012282</v>
      </c>
    </row>
    <row r="195" spans="1:17" s="54" customFormat="1">
      <c r="A195" s="54">
        <v>2037</v>
      </c>
      <c r="B195" s="54">
        <v>9</v>
      </c>
      <c r="C195" s="62">
        <f>'Travel Time Savings'!F34*$D$65</f>
        <v>28056.880744922142</v>
      </c>
      <c r="D195" s="106">
        <f t="shared" si="30"/>
        <v>0.12477736573689226</v>
      </c>
      <c r="E195" s="65">
        <f t="shared" si="31"/>
        <v>2000</v>
      </c>
      <c r="F195" s="65">
        <f t="shared" si="32"/>
        <v>249.5547314737845</v>
      </c>
      <c r="G195" s="107">
        <f>F195/Discount!B22</f>
        <v>69.003962794783831</v>
      </c>
      <c r="I195" s="54">
        <v>2037</v>
      </c>
      <c r="J195" s="54">
        <v>9</v>
      </c>
      <c r="K195" s="62">
        <f>'Travel Time Savings'!F34*$D$66</f>
        <v>4758.1844538172054</v>
      </c>
      <c r="L195" s="106">
        <f t="shared" si="33"/>
        <v>2.3395992959419201E-2</v>
      </c>
      <c r="M195" s="103">
        <v>0</v>
      </c>
      <c r="N195" s="239">
        <f t="shared" si="34"/>
        <v>2.3395992959419201E-2</v>
      </c>
      <c r="O195" s="65">
        <f t="shared" si="35"/>
        <v>2000</v>
      </c>
      <c r="P195" s="65">
        <f t="shared" si="36"/>
        <v>46.7919859188384</v>
      </c>
      <c r="Q195" s="107">
        <f>P195/Discount!B22</f>
        <v>12.938374024684681</v>
      </c>
    </row>
    <row r="196" spans="1:17" s="54" customFormat="1">
      <c r="A196" s="54">
        <v>2038</v>
      </c>
      <c r="B196" s="54">
        <v>10</v>
      </c>
      <c r="C196" s="62">
        <f>'Travel Time Savings'!F35*$D$65</f>
        <v>28553.487534107251</v>
      </c>
      <c r="D196" s="106">
        <f t="shared" si="30"/>
        <v>0.12698592511043519</v>
      </c>
      <c r="E196" s="65">
        <f t="shared" si="31"/>
        <v>2000</v>
      </c>
      <c r="F196" s="65">
        <f t="shared" si="32"/>
        <v>253.97185022087038</v>
      </c>
      <c r="G196" s="107">
        <f>F196/Discount!B23</f>
        <v>65.631152276870537</v>
      </c>
      <c r="I196" s="54">
        <v>2038</v>
      </c>
      <c r="J196" s="54">
        <v>10</v>
      </c>
      <c r="K196" s="62">
        <f>'Travel Time Savings'!F35*$D$66</f>
        <v>4842.4043186497674</v>
      </c>
      <c r="L196" s="106">
        <f t="shared" si="33"/>
        <v>2.3810102034800908E-2</v>
      </c>
      <c r="M196" s="103">
        <v>0</v>
      </c>
      <c r="N196" s="239">
        <f t="shared" si="34"/>
        <v>2.3810102034800908E-2</v>
      </c>
      <c r="O196" s="65">
        <f t="shared" si="35"/>
        <v>2000</v>
      </c>
      <c r="P196" s="65">
        <f t="shared" si="36"/>
        <v>47.620204069601819</v>
      </c>
      <c r="Q196" s="107">
        <f>P196/Discount!B23</f>
        <v>12.305965649459434</v>
      </c>
    </row>
    <row r="197" spans="1:17" s="54" customFormat="1">
      <c r="A197" s="54">
        <v>2039</v>
      </c>
      <c r="B197" s="54">
        <v>11</v>
      </c>
      <c r="C197" s="62">
        <f>'Travel Time Savings'!F36*$D$65</f>
        <v>29058.884263460986</v>
      </c>
      <c r="D197" s="106">
        <f t="shared" si="30"/>
        <v>0.12923357598489005</v>
      </c>
      <c r="E197" s="65">
        <f t="shared" si="31"/>
        <v>2000</v>
      </c>
      <c r="F197" s="65">
        <f t="shared" si="32"/>
        <v>258.4671519697801</v>
      </c>
      <c r="G197" s="107">
        <f>F197/Discount!B24</f>
        <v>62.423199693617974</v>
      </c>
      <c r="I197" s="54">
        <v>2039</v>
      </c>
      <c r="J197" s="54">
        <v>11</v>
      </c>
      <c r="K197" s="62">
        <f>'Travel Time Savings'!F36*$D$66</f>
        <v>4928.1148750898747</v>
      </c>
      <c r="L197" s="106">
        <f t="shared" si="33"/>
        <v>2.4231540840816912E-2</v>
      </c>
      <c r="M197" s="103">
        <v>0</v>
      </c>
      <c r="N197" s="239">
        <f t="shared" si="34"/>
        <v>2.4231540840816912E-2</v>
      </c>
      <c r="O197" s="65">
        <f t="shared" si="35"/>
        <v>2000</v>
      </c>
      <c r="P197" s="65">
        <f t="shared" si="36"/>
        <v>48.463081681633824</v>
      </c>
      <c r="Q197" s="107">
        <f>P197/Discount!B24</f>
        <v>11.704468449957831</v>
      </c>
    </row>
    <row r="198" spans="1:17" s="54" customFormat="1">
      <c r="A198" s="54">
        <v>2040</v>
      </c>
      <c r="B198" s="54">
        <v>12</v>
      </c>
      <c r="C198" s="62">
        <f>'Travel Time Savings'!F37*$D$65</f>
        <v>29573.226514924256</v>
      </c>
      <c r="D198" s="106">
        <f t="shared" si="30"/>
        <v>0.13152101027982266</v>
      </c>
      <c r="E198" s="65">
        <f t="shared" si="31"/>
        <v>2000</v>
      </c>
      <c r="F198" s="65">
        <f t="shared" si="32"/>
        <v>263.04202055964532</v>
      </c>
      <c r="G198" s="107">
        <f>F198/Discount!B25</f>
        <v>59.372047035696298</v>
      </c>
      <c r="I198" s="54">
        <v>2040</v>
      </c>
      <c r="J198" s="54">
        <v>12</v>
      </c>
      <c r="K198" s="62">
        <f>'Travel Time Savings'!F37*$D$66</f>
        <v>5015.3425083789671</v>
      </c>
      <c r="L198" s="106">
        <f t="shared" si="33"/>
        <v>2.4660439113699383E-2</v>
      </c>
      <c r="M198" s="103">
        <v>0</v>
      </c>
      <c r="N198" s="239">
        <f t="shared" si="34"/>
        <v>2.4660439113699383E-2</v>
      </c>
      <c r="O198" s="65">
        <f t="shared" si="35"/>
        <v>2000</v>
      </c>
      <c r="P198" s="65">
        <f t="shared" si="36"/>
        <v>49.320878227398765</v>
      </c>
      <c r="Q198" s="107">
        <f>P198/Discount!B25</f>
        <v>11.132371534132794</v>
      </c>
    </row>
    <row r="199" spans="1:17" s="54" customFormat="1">
      <c r="A199" s="54">
        <v>2041</v>
      </c>
      <c r="B199" s="54">
        <v>13</v>
      </c>
      <c r="C199" s="62">
        <f>'Travel Time Savings'!F38*$D$65</f>
        <v>30096.672624238377</v>
      </c>
      <c r="D199" s="106">
        <f t="shared" si="30"/>
        <v>0.13384893216177535</v>
      </c>
      <c r="E199" s="65">
        <f t="shared" si="31"/>
        <v>2000</v>
      </c>
      <c r="F199" s="65">
        <f t="shared" si="32"/>
        <v>267.69786432355068</v>
      </c>
      <c r="G199" s="107">
        <f>F199/Discount!B26</f>
        <v>56.470030157222467</v>
      </c>
      <c r="I199" s="54">
        <v>2041</v>
      </c>
      <c r="J199" s="54">
        <v>13</v>
      </c>
      <c r="K199" s="62">
        <f>'Travel Time Savings'!F38*$D$66</f>
        <v>5104.1140707772684</v>
      </c>
      <c r="L199" s="106">
        <f t="shared" si="33"/>
        <v>2.5096928886011827E-2</v>
      </c>
      <c r="M199" s="103">
        <v>0</v>
      </c>
      <c r="N199" s="239">
        <f t="shared" si="34"/>
        <v>2.5096928886011827E-2</v>
      </c>
      <c r="O199" s="65">
        <f t="shared" si="35"/>
        <v>2000</v>
      </c>
      <c r="P199" s="65">
        <f t="shared" si="36"/>
        <v>50.193857772023655</v>
      </c>
      <c r="Q199" s="107">
        <f>P199/Discount!B26</f>
        <v>10.588237860081243</v>
      </c>
    </row>
    <row r="200" spans="1:17" s="54" customFormat="1">
      <c r="A200" s="54">
        <v>2042</v>
      </c>
      <c r="B200" s="54">
        <v>14</v>
      </c>
      <c r="C200" s="62">
        <f>'Travel Time Savings'!F39*$D$65</f>
        <v>30629.383729687404</v>
      </c>
      <c r="D200" s="106">
        <f t="shared" si="30"/>
        <v>0.1362180582610388</v>
      </c>
      <c r="E200" s="65">
        <f t="shared" si="31"/>
        <v>2000</v>
      </c>
      <c r="F200" s="65">
        <f t="shared" si="32"/>
        <v>272.43611652207761</v>
      </c>
      <c r="G200" s="107">
        <f>F200/Discount!B27</f>
        <v>53.709859524304036</v>
      </c>
      <c r="I200" s="54">
        <v>2042</v>
      </c>
      <c r="J200" s="54">
        <v>14</v>
      </c>
      <c r="K200" s="62">
        <f>'Travel Time Savings'!F39*$D$66</f>
        <v>5194.4568898300276</v>
      </c>
      <c r="L200" s="106">
        <f t="shared" si="33"/>
        <v>2.5541144527294245E-2</v>
      </c>
      <c r="M200" s="103">
        <v>0</v>
      </c>
      <c r="N200" s="239">
        <f t="shared" si="34"/>
        <v>2.5541144527294245E-2</v>
      </c>
      <c r="O200" s="65">
        <f t="shared" si="35"/>
        <v>2000</v>
      </c>
      <c r="P200" s="65">
        <f t="shared" si="36"/>
        <v>51.082289054588486</v>
      </c>
      <c r="Q200" s="107">
        <f>P200/Discount!B27</f>
        <v>10.070700626359516</v>
      </c>
    </row>
    <row r="201" spans="1:17" s="54" customFormat="1">
      <c r="A201" s="54">
        <v>2043</v>
      </c>
      <c r="B201" s="54">
        <v>15</v>
      </c>
      <c r="C201" s="62">
        <f>'Travel Time Savings'!F40*$D$65</f>
        <v>31171.523821702875</v>
      </c>
      <c r="D201" s="106">
        <f t="shared" si="30"/>
        <v>0.13862911789225921</v>
      </c>
      <c r="E201" s="65">
        <f t="shared" si="31"/>
        <v>2000</v>
      </c>
      <c r="F201" s="65">
        <f t="shared" si="32"/>
        <v>277.25823578451843</v>
      </c>
      <c r="G201" s="107">
        <f>F201/Discount!B28</f>
        <v>51.084601904564693</v>
      </c>
      <c r="I201" s="54">
        <v>2043</v>
      </c>
      <c r="J201" s="54">
        <v>15</v>
      </c>
      <c r="K201" s="62">
        <f>'Travel Time Savings'!F40*$D$66</f>
        <v>5286.398776780019</v>
      </c>
      <c r="L201" s="106">
        <f t="shared" si="33"/>
        <v>2.5993222785427355E-2</v>
      </c>
      <c r="M201" s="103">
        <v>0</v>
      </c>
      <c r="N201" s="239">
        <f t="shared" si="34"/>
        <v>2.5993222785427355E-2</v>
      </c>
      <c r="O201" s="65">
        <f t="shared" si="35"/>
        <v>2000</v>
      </c>
      <c r="P201" s="65">
        <f t="shared" si="36"/>
        <v>51.986445570854713</v>
      </c>
      <c r="Q201" s="107">
        <f>P201/Discount!B28</f>
        <v>9.5784598387346556</v>
      </c>
    </row>
    <row r="202" spans="1:17" s="54" customFormat="1">
      <c r="A202" s="54">
        <v>2044</v>
      </c>
      <c r="B202" s="54">
        <v>16</v>
      </c>
      <c r="C202" s="62">
        <f>'Travel Time Savings'!F41*$D$65</f>
        <v>31723.259793347024</v>
      </c>
      <c r="D202" s="106">
        <f t="shared" si="30"/>
        <v>0.14108285327895223</v>
      </c>
      <c r="E202" s="65">
        <f t="shared" si="31"/>
        <v>2000</v>
      </c>
      <c r="F202" s="65">
        <f t="shared" si="32"/>
        <v>282.16570655790446</v>
      </c>
      <c r="G202" s="107">
        <f>F202/Discount!B29</f>
        <v>48.587662951659347</v>
      </c>
      <c r="I202" s="54">
        <v>2044</v>
      </c>
      <c r="J202" s="54">
        <v>16</v>
      </c>
      <c r="K202" s="62">
        <f>'Travel Time Savings'!F41*$D$66</f>
        <v>5379.9680351290272</v>
      </c>
      <c r="L202" s="106">
        <f t="shared" si="33"/>
        <v>2.6453302828729427E-2</v>
      </c>
      <c r="M202" s="103">
        <v>0</v>
      </c>
      <c r="N202" s="239">
        <f t="shared" si="34"/>
        <v>2.6453302828729427E-2</v>
      </c>
      <c r="O202" s="65">
        <f t="shared" si="35"/>
        <v>2000</v>
      </c>
      <c r="P202" s="65">
        <f t="shared" si="36"/>
        <v>52.906605657458854</v>
      </c>
      <c r="Q202" s="107">
        <f>P202/Discount!B29</f>
        <v>9.1102790447479087</v>
      </c>
    </row>
    <row r="203" spans="1:17" s="54" customFormat="1">
      <c r="A203" s="54">
        <v>2045</v>
      </c>
      <c r="B203" s="54">
        <v>17</v>
      </c>
      <c r="C203" s="62">
        <f>'Travel Time Savings'!F42*$D$65</f>
        <v>32284.761491689274</v>
      </c>
      <c r="D203" s="106">
        <f t="shared" si="30"/>
        <v>0.14358001978198973</v>
      </c>
      <c r="E203" s="65">
        <f t="shared" si="31"/>
        <v>2000</v>
      </c>
      <c r="F203" s="65">
        <f t="shared" si="32"/>
        <v>287.16003956397947</v>
      </c>
      <c r="G203" s="107">
        <f>F203/Discount!B30</f>
        <v>46.212770641031518</v>
      </c>
      <c r="I203" s="54">
        <v>2045</v>
      </c>
      <c r="J203" s="54">
        <v>17</v>
      </c>
      <c r="K203" s="62">
        <f>'Travel Time Savings'!F42*$D$66</f>
        <v>5475.1934693508119</v>
      </c>
      <c r="L203" s="106">
        <f t="shared" si="33"/>
        <v>2.6921526288797942E-2</v>
      </c>
      <c r="M203" s="103">
        <v>0</v>
      </c>
      <c r="N203" s="239">
        <f t="shared" si="34"/>
        <v>2.6921526288797942E-2</v>
      </c>
      <c r="O203" s="65">
        <f t="shared" si="35"/>
        <v>2000</v>
      </c>
      <c r="P203" s="65">
        <f t="shared" si="36"/>
        <v>53.843052577595884</v>
      </c>
      <c r="Q203" s="107">
        <f>P203/Discount!B30</f>
        <v>8.6649822278877995</v>
      </c>
    </row>
    <row r="204" spans="1:17" s="54" customFormat="1">
      <c r="A204" s="54">
        <v>2046</v>
      </c>
      <c r="B204" s="54">
        <v>18</v>
      </c>
      <c r="C204" s="62">
        <f>'Travel Time Savings'!F43*$D$65</f>
        <v>32856.201770092157</v>
      </c>
      <c r="D204" s="106">
        <f t="shared" si="30"/>
        <v>0.14612138613213085</v>
      </c>
      <c r="E204" s="65">
        <f t="shared" si="31"/>
        <v>2000</v>
      </c>
      <c r="F204" s="65">
        <f t="shared" si="32"/>
        <v>292.2427722642617</v>
      </c>
      <c r="G204" s="107">
        <f>F204/Discount!B31</f>
        <v>43.953959515306316</v>
      </c>
      <c r="I204" s="54">
        <v>2046</v>
      </c>
      <c r="J204" s="54">
        <v>18</v>
      </c>
      <c r="K204" s="62">
        <f>'Travel Time Savings'!F43*$D$66</f>
        <v>5572.1043937583181</v>
      </c>
      <c r="L204" s="106">
        <f t="shared" si="33"/>
        <v>2.7398037304109647E-2</v>
      </c>
      <c r="M204" s="103">
        <v>0</v>
      </c>
      <c r="N204" s="239">
        <f t="shared" si="34"/>
        <v>2.7398037304109647E-2</v>
      </c>
      <c r="O204" s="65">
        <f t="shared" si="35"/>
        <v>2000</v>
      </c>
      <c r="P204" s="65">
        <f t="shared" si="36"/>
        <v>54.796074608219293</v>
      </c>
      <c r="Q204" s="107">
        <f>P204/Discount!B31</f>
        <v>8.2414508535714113</v>
      </c>
    </row>
    <row r="205" spans="1:17" s="54" customFormat="1">
      <c r="A205" s="54">
        <v>2047</v>
      </c>
      <c r="B205" s="54">
        <v>19</v>
      </c>
      <c r="C205" s="62">
        <f>'Travel Time Savings'!F44*$D$65</f>
        <v>33437.756541422787</v>
      </c>
      <c r="D205" s="106">
        <f t="shared" si="30"/>
        <v>0.14870773466666956</v>
      </c>
      <c r="E205" s="65">
        <f t="shared" si="31"/>
        <v>2000</v>
      </c>
      <c r="F205" s="65">
        <f t="shared" si="32"/>
        <v>297.4154693333391</v>
      </c>
      <c r="G205" s="107">
        <f>F205/Discount!B32</f>
        <v>41.805555699745071</v>
      </c>
      <c r="I205" s="54">
        <v>2047</v>
      </c>
      <c r="J205" s="54">
        <v>19</v>
      </c>
      <c r="K205" s="62">
        <f>'Travel Time Savings'!F44*$D$66</f>
        <v>5670.7306415278408</v>
      </c>
      <c r="L205" s="106">
        <f t="shared" si="33"/>
        <v>2.7882982564392395E-2</v>
      </c>
      <c r="M205" s="103">
        <v>0</v>
      </c>
      <c r="N205" s="239">
        <f t="shared" si="34"/>
        <v>2.7882982564392395E-2</v>
      </c>
      <c r="O205" s="65">
        <f t="shared" si="35"/>
        <v>2000</v>
      </c>
      <c r="P205" s="65">
        <f t="shared" si="36"/>
        <v>55.765965128784792</v>
      </c>
      <c r="Q205" s="107">
        <f>P205/Discount!B32</f>
        <v>7.8386210595136703</v>
      </c>
    </row>
    <row r="206" spans="1:17" s="54" customFormat="1">
      <c r="A206" s="54">
        <v>2048</v>
      </c>
      <c r="B206" s="54">
        <v>20</v>
      </c>
      <c r="C206" s="62">
        <f>'Travel Time Savings'!F45*$D$65</f>
        <v>34029.604832205994</v>
      </c>
      <c r="D206" s="106">
        <f t="shared" si="30"/>
        <v>0.15133986157026971</v>
      </c>
      <c r="E206" s="65">
        <f t="shared" si="31"/>
        <v>2000</v>
      </c>
      <c r="F206" s="65">
        <f t="shared" si="32"/>
        <v>302.67972314053941</v>
      </c>
      <c r="G206" s="107">
        <f>F206/Discount!B33</f>
        <v>39.76216265012205</v>
      </c>
      <c r="I206" s="54">
        <v>2048</v>
      </c>
      <c r="J206" s="54">
        <v>20</v>
      </c>
      <c r="K206" s="62">
        <f>'Travel Time Savings'!F45*$D$66</f>
        <v>5771.1025738828876</v>
      </c>
      <c r="L206" s="106">
        <f t="shared" si="33"/>
        <v>2.8376511355782157E-2</v>
      </c>
      <c r="M206" s="103">
        <v>0</v>
      </c>
      <c r="N206" s="239">
        <f t="shared" si="34"/>
        <v>2.8376511355782157E-2</v>
      </c>
      <c r="O206" s="65">
        <f t="shared" si="35"/>
        <v>2000</v>
      </c>
      <c r="P206" s="65">
        <f t="shared" si="36"/>
        <v>56.753022711564313</v>
      </c>
      <c r="Q206" s="107">
        <f>P206/Discount!B33</f>
        <v>7.4554809834271651</v>
      </c>
    </row>
    <row r="207" spans="1:17" s="54" customFormat="1">
      <c r="A207" s="54">
        <v>2049</v>
      </c>
      <c r="B207" s="54">
        <v>21</v>
      </c>
      <c r="C207" s="62">
        <f>'Travel Time Savings'!F46*$D$65</f>
        <v>34631.928837736014</v>
      </c>
      <c r="D207" s="106">
        <f t="shared" si="30"/>
        <v>0.15401857712006339</v>
      </c>
      <c r="E207" s="65">
        <f t="shared" si="31"/>
        <v>2000</v>
      </c>
      <c r="F207" s="65">
        <f t="shared" si="32"/>
        <v>308.03715424012677</v>
      </c>
      <c r="G207" s="107">
        <f>F207/Discount!B34</f>
        <v>37.818647597223531</v>
      </c>
      <c r="I207" s="54">
        <v>2049</v>
      </c>
      <c r="J207" s="54">
        <v>21</v>
      </c>
      <c r="K207" s="62">
        <f>'Travel Time Savings'!F46*$D$66</f>
        <v>5873.2510894406096</v>
      </c>
      <c r="L207" s="106">
        <f t="shared" si="33"/>
        <v>2.887877560677948E-2</v>
      </c>
      <c r="M207" s="103">
        <v>0</v>
      </c>
      <c r="N207" s="239">
        <f t="shared" si="34"/>
        <v>2.887877560677948E-2</v>
      </c>
      <c r="O207" s="65">
        <f t="shared" si="35"/>
        <v>2000</v>
      </c>
      <c r="P207" s="65">
        <f t="shared" si="36"/>
        <v>57.757551213558962</v>
      </c>
      <c r="Q207" s="107">
        <f>P207/Discount!B34</f>
        <v>7.0910682213400182</v>
      </c>
    </row>
    <row r="208" spans="1:17" s="54" customFormat="1">
      <c r="A208" s="54">
        <v>2050</v>
      </c>
      <c r="B208" s="54">
        <v>22</v>
      </c>
      <c r="C208" s="62">
        <f>'Travel Time Savings'!F47*$D$65</f>
        <v>35244.91397816399</v>
      </c>
      <c r="D208" s="106">
        <f t="shared" si="30"/>
        <v>0.15674470593508874</v>
      </c>
      <c r="E208" s="65">
        <f t="shared" si="31"/>
        <v>2000</v>
      </c>
      <c r="F208" s="65">
        <f t="shared" si="32"/>
        <v>313.48941187017749</v>
      </c>
      <c r="G208" s="107">
        <f>F208/Discount!B35</f>
        <v>35.970128653920042</v>
      </c>
      <c r="I208" s="54">
        <v>2050</v>
      </c>
      <c r="J208" s="54">
        <v>22</v>
      </c>
      <c r="K208" s="62">
        <f>'Travel Time Savings'!F47*$D$66</f>
        <v>5977.2076337237168</v>
      </c>
      <c r="L208" s="106">
        <f t="shared" si="33"/>
        <v>2.9389929935019512E-2</v>
      </c>
      <c r="M208" s="103">
        <v>0</v>
      </c>
      <c r="N208" s="239">
        <f t="shared" si="34"/>
        <v>2.9389929935019512E-2</v>
      </c>
      <c r="O208" s="65">
        <f t="shared" si="35"/>
        <v>2000</v>
      </c>
      <c r="P208" s="65">
        <f t="shared" si="36"/>
        <v>58.779859870039026</v>
      </c>
      <c r="Q208" s="107">
        <f>P208/Discount!B35</f>
        <v>6.7444674101474265</v>
      </c>
    </row>
    <row r="209" spans="1:19" s="54" customFormat="1">
      <c r="A209" s="54">
        <v>2051</v>
      </c>
      <c r="B209" s="54">
        <v>23</v>
      </c>
      <c r="C209" s="62">
        <f>'Travel Time Savings'!F48*$D$65</f>
        <v>35868.748955577474</v>
      </c>
      <c r="D209" s="106">
        <f t="shared" si="30"/>
        <v>0.15951908723013972</v>
      </c>
      <c r="E209" s="65">
        <f t="shared" si="31"/>
        <v>2000</v>
      </c>
      <c r="F209" s="65">
        <f t="shared" si="32"/>
        <v>319.03817446027944</v>
      </c>
      <c r="G209" s="107">
        <f>F209/Discount!B36</f>
        <v>34.21196255242468</v>
      </c>
      <c r="I209" s="54">
        <v>2051</v>
      </c>
      <c r="J209" s="54">
        <v>23</v>
      </c>
      <c r="K209" s="62">
        <f>'Travel Time Savings'!F48*$D$66</f>
        <v>6083.0042088406244</v>
      </c>
      <c r="L209" s="106">
        <f t="shared" si="33"/>
        <v>2.9910131694869353E-2</v>
      </c>
      <c r="M209" s="103">
        <v>0</v>
      </c>
      <c r="N209" s="239">
        <f t="shared" si="34"/>
        <v>2.9910131694869353E-2</v>
      </c>
      <c r="O209" s="65">
        <f t="shared" si="35"/>
        <v>2000</v>
      </c>
      <c r="P209" s="65">
        <f t="shared" si="36"/>
        <v>59.820263389738706</v>
      </c>
      <c r="Q209" s="107">
        <f>P209/Discount!B36</f>
        <v>6.4148079283243309</v>
      </c>
    </row>
    <row r="210" spans="1:19" s="54" customFormat="1">
      <c r="A210" s="54">
        <v>2052</v>
      </c>
      <c r="B210" s="54">
        <v>24</v>
      </c>
      <c r="C210" s="62">
        <f>'Travel Time Savings'!F49*$D$65</f>
        <v>36503.62581209121</v>
      </c>
      <c r="D210" s="106">
        <f t="shared" si="30"/>
        <v>0.16234257507411326</v>
      </c>
      <c r="E210" s="65">
        <f t="shared" si="31"/>
        <v>2000</v>
      </c>
      <c r="F210" s="65">
        <f t="shared" si="32"/>
        <v>324.68515014822651</v>
      </c>
      <c r="G210" s="107">
        <f>F210/Discount!B37</f>
        <v>32.539732980937018</v>
      </c>
      <c r="I210" s="54">
        <v>2052</v>
      </c>
      <c r="J210" s="54">
        <v>24</v>
      </c>
      <c r="K210" s="62">
        <f>'Travel Time Savings'!F49*$D$66</f>
        <v>6190.6733833371063</v>
      </c>
      <c r="L210" s="106">
        <f t="shared" si="33"/>
        <v>3.0439541025868551E-2</v>
      </c>
      <c r="M210" s="103">
        <v>0</v>
      </c>
      <c r="N210" s="239">
        <f t="shared" si="34"/>
        <v>3.0439541025868551E-2</v>
      </c>
      <c r="O210" s="65">
        <f t="shared" si="35"/>
        <v>2000</v>
      </c>
      <c r="P210" s="65">
        <f t="shared" si="36"/>
        <v>60.8790820517371</v>
      </c>
      <c r="Q210" s="107">
        <f>P210/Discount!B37</f>
        <v>6.1012617090239942</v>
      </c>
    </row>
    <row r="211" spans="1:19" s="54" customFormat="1">
      <c r="A211" s="54">
        <v>2053</v>
      </c>
      <c r="B211" s="54">
        <v>25</v>
      </c>
      <c r="C211" s="62">
        <f>'Travel Time Savings'!F50*$D$65</f>
        <v>37149.739988965215</v>
      </c>
      <c r="D211" s="106">
        <f t="shared" si="30"/>
        <v>0.165216038652925</v>
      </c>
      <c r="E211" s="65">
        <f t="shared" si="31"/>
        <v>2000</v>
      </c>
      <c r="F211" s="65">
        <f t="shared" si="32"/>
        <v>330.43207730584999</v>
      </c>
      <c r="G211" s="107">
        <f>F211/Discount!B38</f>
        <v>30.949239490373447</v>
      </c>
      <c r="I211" s="54">
        <v>2053</v>
      </c>
      <c r="J211" s="54">
        <v>25</v>
      </c>
      <c r="K211" s="62">
        <f>'Travel Time Savings'!F50*$D$66</f>
        <v>6300.2483022221704</v>
      </c>
      <c r="L211" s="106">
        <f t="shared" si="33"/>
        <v>3.0978320902026412E-2</v>
      </c>
      <c r="M211" s="103">
        <v>0</v>
      </c>
      <c r="N211" s="239">
        <f t="shared" si="34"/>
        <v>3.0978320902026412E-2</v>
      </c>
      <c r="O211" s="65">
        <f t="shared" si="35"/>
        <v>2000</v>
      </c>
      <c r="P211" s="65">
        <f t="shared" si="36"/>
        <v>61.956641804052822</v>
      </c>
      <c r="Q211" s="107">
        <f>P211/Discount!B38</f>
        <v>5.8030411600688936</v>
      </c>
    </row>
    <row r="212" spans="1:19" s="54" customFormat="1">
      <c r="A212" s="54">
        <v>2054</v>
      </c>
      <c r="B212" s="54">
        <v>26</v>
      </c>
      <c r="C212" s="62">
        <f>'Travel Time Savings'!F51*$D$65</f>
        <v>37807.290386769848</v>
      </c>
      <c r="D212" s="106">
        <f t="shared" si="30"/>
        <v>0.16814036253708156</v>
      </c>
      <c r="E212" s="65">
        <f t="shared" si="31"/>
        <v>2000</v>
      </c>
      <c r="F212" s="65">
        <f t="shared" si="32"/>
        <v>336.28072507416312</v>
      </c>
      <c r="G212" s="107">
        <f>F212/Discount!B39</f>
        <v>29.436486943320578</v>
      </c>
      <c r="I212" s="54">
        <v>2054</v>
      </c>
      <c r="J212" s="54">
        <v>26</v>
      </c>
      <c r="K212" s="62">
        <f>'Travel Time Savings'!F51*$D$66</f>
        <v>6411.7626971714935</v>
      </c>
      <c r="L212" s="106">
        <f t="shared" si="33"/>
        <v>3.152663718199223E-2</v>
      </c>
      <c r="M212" s="103">
        <v>0</v>
      </c>
      <c r="N212" s="239">
        <f t="shared" si="34"/>
        <v>3.152663718199223E-2</v>
      </c>
      <c r="O212" s="65">
        <f t="shared" si="35"/>
        <v>2000</v>
      </c>
      <c r="P212" s="65">
        <f t="shared" si="36"/>
        <v>63.053274363984457</v>
      </c>
      <c r="Q212" s="107">
        <f>P212/Discount!B39</f>
        <v>5.519397185609443</v>
      </c>
    </row>
    <row r="213" spans="1:19" s="54" customFormat="1">
      <c r="A213" s="54">
        <v>2055</v>
      </c>
      <c r="B213" s="54">
        <v>27</v>
      </c>
      <c r="C213" s="62">
        <f>'Travel Time Savings'!F52*$D$65</f>
        <v>38476.479426615719</v>
      </c>
      <c r="D213" s="106">
        <f t="shared" si="30"/>
        <v>0.17111644695398809</v>
      </c>
      <c r="E213" s="65">
        <f t="shared" si="31"/>
        <v>2000</v>
      </c>
      <c r="F213" s="65">
        <f t="shared" si="32"/>
        <v>342.23289390797618</v>
      </c>
      <c r="G213" s="107">
        <f>F213/Discount!B40</f>
        <v>27.997675478707833</v>
      </c>
      <c r="I213" s="54">
        <v>2055</v>
      </c>
      <c r="J213" s="54">
        <v>27</v>
      </c>
      <c r="K213" s="62">
        <f>'Travel Time Savings'!F52*$D$66</f>
        <v>6525.2508969114369</v>
      </c>
      <c r="L213" s="106">
        <f t="shared" si="33"/>
        <v>3.2084658660113535E-2</v>
      </c>
      <c r="M213" s="103">
        <v>0</v>
      </c>
      <c r="N213" s="239">
        <f t="shared" si="34"/>
        <v>3.2084658660113535E-2</v>
      </c>
      <c r="O213" s="65">
        <f t="shared" si="35"/>
        <v>2000</v>
      </c>
      <c r="P213" s="65">
        <f t="shared" si="36"/>
        <v>64.169317320227066</v>
      </c>
      <c r="Q213" s="107">
        <f>P213/Discount!B40</f>
        <v>5.2496173044810623</v>
      </c>
    </row>
    <row r="214" spans="1:19" s="54" customFormat="1">
      <c r="A214" s="54">
        <v>2056</v>
      </c>
      <c r="B214" s="54">
        <v>28</v>
      </c>
      <c r="C214" s="62">
        <f>'Travel Time Savings'!F53*$D$65</f>
        <v>39157.513112466833</v>
      </c>
      <c r="D214" s="106">
        <f t="shared" si="30"/>
        <v>0.17414520806507375</v>
      </c>
      <c r="E214" s="65">
        <f t="shared" si="31"/>
        <v>2000</v>
      </c>
      <c r="F214" s="65">
        <f t="shared" si="32"/>
        <v>348.29041613014749</v>
      </c>
      <c r="G214" s="107">
        <f>F214/Discount!B41</f>
        <v>26.629190966991565</v>
      </c>
      <c r="I214" s="54">
        <v>2056</v>
      </c>
      <c r="J214" s="54">
        <v>28</v>
      </c>
      <c r="K214" s="62">
        <f>'Travel Time Savings'!F53*$D$66</f>
        <v>6640.7478377867728</v>
      </c>
      <c r="L214" s="106">
        <f t="shared" si="33"/>
        <v>3.2652557118397561E-2</v>
      </c>
      <c r="M214" s="103">
        <v>0</v>
      </c>
      <c r="N214" s="239">
        <f t="shared" si="34"/>
        <v>3.2652557118397561E-2</v>
      </c>
      <c r="O214" s="65">
        <f t="shared" si="35"/>
        <v>2000</v>
      </c>
      <c r="P214" s="65">
        <f t="shared" si="36"/>
        <v>65.30511423679512</v>
      </c>
      <c r="Q214" s="107">
        <f>P214/Discount!B41</f>
        <v>4.9930238605330652</v>
      </c>
    </row>
    <row r="215" spans="1:19" s="54" customFormat="1">
      <c r="A215" s="54">
        <v>2057</v>
      </c>
      <c r="B215" s="54">
        <v>29</v>
      </c>
      <c r="C215" s="62">
        <f>'Travel Time Savings'!F54*$D$65</f>
        <v>39850.601094557453</v>
      </c>
      <c r="D215" s="106">
        <f t="shared" si="30"/>
        <v>0.17722757824782537</v>
      </c>
      <c r="E215" s="65">
        <f t="shared" si="31"/>
        <v>2000</v>
      </c>
      <c r="F215" s="65">
        <f t="shared" si="32"/>
        <v>354.45515649565073</v>
      </c>
      <c r="G215" s="107">
        <f>F215/Discount!B42</f>
        <v>25.327595931875969</v>
      </c>
      <c r="I215" s="54">
        <v>2057</v>
      </c>
      <c r="J215" s="54">
        <v>29</v>
      </c>
      <c r="K215" s="62">
        <f>'Travel Time Savings'!F54*$D$66</f>
        <v>6758.289074515591</v>
      </c>
      <c r="L215" s="106">
        <f t="shared" si="33"/>
        <v>3.3230507379393162E-2</v>
      </c>
      <c r="M215" s="103">
        <v>0</v>
      </c>
      <c r="N215" s="239">
        <f t="shared" si="34"/>
        <v>3.3230507379393162E-2</v>
      </c>
      <c r="O215" s="65">
        <f t="shared" si="35"/>
        <v>2000</v>
      </c>
      <c r="P215" s="65">
        <f t="shared" si="36"/>
        <v>66.46101475878632</v>
      </c>
      <c r="Q215" s="107">
        <f>P215/Discount!B42</f>
        <v>4.7489723204341079</v>
      </c>
    </row>
    <row r="216" spans="1:19" s="54" customFormat="1">
      <c r="A216" s="54">
        <v>2058</v>
      </c>
      <c r="B216" s="54">
        <v>30</v>
      </c>
      <c r="C216" s="62">
        <f>'Travel Time Savings'!F55*$D$65</f>
        <v>40555.956733931147</v>
      </c>
      <c r="D216" s="106">
        <f t="shared" si="30"/>
        <v>0.18036450638281201</v>
      </c>
      <c r="E216" s="65">
        <f t="shared" si="31"/>
        <v>2000</v>
      </c>
      <c r="F216" s="65">
        <f t="shared" si="32"/>
        <v>360.72901276562402</v>
      </c>
      <c r="G216" s="107">
        <f>F216/Discount!B43</f>
        <v>24.089620915766538</v>
      </c>
      <c r="I216" s="54">
        <v>2058</v>
      </c>
      <c r="J216" s="54">
        <v>30</v>
      </c>
      <c r="K216" s="62">
        <f>'Travel Time Savings'!F55*$D$66</f>
        <v>6877.9107911345209</v>
      </c>
      <c r="L216" s="106">
        <f t="shared" si="33"/>
        <v>3.381868736000844E-2</v>
      </c>
      <c r="M216" s="103">
        <v>0</v>
      </c>
      <c r="N216" s="239">
        <f t="shared" si="34"/>
        <v>3.381868736000844E-2</v>
      </c>
      <c r="O216" s="65">
        <f t="shared" si="35"/>
        <v>2000</v>
      </c>
      <c r="P216" s="65">
        <f t="shared" si="36"/>
        <v>67.637374720016879</v>
      </c>
      <c r="Q216" s="107">
        <f>P216/Discount!B43</f>
        <v>4.5168496546783121</v>
      </c>
    </row>
    <row r="217" spans="1:19" s="54" customFormat="1" ht="30" customHeight="1" thickBot="1">
      <c r="A217" s="306" t="s">
        <v>387</v>
      </c>
      <c r="B217" s="306"/>
      <c r="C217" s="306"/>
      <c r="D217" s="108">
        <f>SUM(D176:D216)</f>
        <v>4.244063702526212</v>
      </c>
      <c r="E217" s="68"/>
      <c r="F217" s="70">
        <f>SUM(F176:F216)</f>
        <v>8488.1274050524244</v>
      </c>
      <c r="G217" s="70">
        <f>SUM(G176:G216)</f>
        <v>1639.2307514088814</v>
      </c>
      <c r="I217" s="306" t="s">
        <v>387</v>
      </c>
      <c r="J217" s="306"/>
      <c r="K217" s="306"/>
      <c r="L217" s="108">
        <f>SUM(L176:L216)</f>
        <v>0.79577000137190823</v>
      </c>
      <c r="M217" s="108">
        <f t="shared" ref="M217:N217" si="37">SUM(M176:M216)</f>
        <v>2.7832186800000006E-2</v>
      </c>
      <c r="N217" s="108">
        <f t="shared" si="37"/>
        <v>0.82360218817190811</v>
      </c>
      <c r="O217" s="68"/>
      <c r="P217" s="70">
        <f>SUM(P176:P216)</f>
        <v>1647.2043763438162</v>
      </c>
      <c r="Q217" s="70">
        <f>SUM(Q176:Q216)</f>
        <v>337.68282729312654</v>
      </c>
      <c r="S217" s="105">
        <f>D217+N217</f>
        <v>5.0676658906981205</v>
      </c>
    </row>
    <row r="218" spans="1:19" s="54" customFormat="1" ht="15.75" thickTop="1">
      <c r="D218" s="71"/>
    </row>
    <row r="219" spans="1:19" s="54" customFormat="1" ht="15.75" thickBot="1">
      <c r="A219" s="353" t="s">
        <v>638</v>
      </c>
      <c r="B219" s="353"/>
      <c r="C219" s="353"/>
      <c r="D219" s="353"/>
      <c r="E219" s="353"/>
      <c r="F219" s="353"/>
      <c r="G219" s="353"/>
    </row>
    <row r="220" spans="1:19" s="54" customFormat="1" ht="69.95" customHeight="1">
      <c r="A220" s="61" t="s">
        <v>25</v>
      </c>
      <c r="B220" s="61" t="s">
        <v>26</v>
      </c>
      <c r="C220" s="61" t="s">
        <v>353</v>
      </c>
      <c r="D220" s="61" t="s">
        <v>672</v>
      </c>
      <c r="E220" s="61" t="s">
        <v>673</v>
      </c>
      <c r="F220" s="61" t="s">
        <v>674</v>
      </c>
      <c r="G220" s="61" t="s">
        <v>364</v>
      </c>
      <c r="H220" s="61" t="s">
        <v>27</v>
      </c>
      <c r="I220" s="61" t="s">
        <v>28</v>
      </c>
    </row>
    <row r="221" spans="1:19" s="54" customFormat="1">
      <c r="A221" s="54">
        <v>2018</v>
      </c>
      <c r="C221" s="62">
        <f>'Travel Time Savings'!F15*$D$66</f>
        <v>0</v>
      </c>
      <c r="D221" s="109">
        <f t="shared" ref="D221" si="38">(C221*$D$80)*$D$60</f>
        <v>0</v>
      </c>
      <c r="E221" s="103">
        <v>0</v>
      </c>
      <c r="F221" s="239">
        <f>D221+E221</f>
        <v>0</v>
      </c>
      <c r="G221" s="65">
        <f>$D$71</f>
        <v>377800</v>
      </c>
      <c r="H221" s="65">
        <f>F221*G221</f>
        <v>0</v>
      </c>
      <c r="I221" s="102">
        <f>H221/Discount!B3</f>
        <v>0</v>
      </c>
    </row>
    <row r="222" spans="1:19" s="54" customFormat="1">
      <c r="A222" s="54">
        <v>2019</v>
      </c>
      <c r="C222" s="62">
        <f>'Travel Time Savings'!F16*$D$66</f>
        <v>0</v>
      </c>
      <c r="D222" s="109">
        <f t="shared" ref="D222:D261" si="39">(C222*$D$80)*$D$60</f>
        <v>0</v>
      </c>
      <c r="E222" s="103">
        <v>0</v>
      </c>
      <c r="F222" s="239">
        <f t="shared" ref="F222:F261" si="40">D222+E222</f>
        <v>0</v>
      </c>
      <c r="G222" s="65">
        <f t="shared" ref="G222:G261" si="41">$D$71</f>
        <v>377800</v>
      </c>
      <c r="H222" s="65">
        <f t="shared" ref="H222:H261" si="42">F222*G222</f>
        <v>0</v>
      </c>
      <c r="I222" s="102">
        <f>H222/Discount!B4</f>
        <v>0</v>
      </c>
    </row>
    <row r="223" spans="1:19" s="54" customFormat="1">
      <c r="A223" s="54">
        <v>2020</v>
      </c>
      <c r="C223" s="62">
        <f>'Travel Time Savings'!F17*$D$66</f>
        <v>0</v>
      </c>
      <c r="D223" s="109">
        <f t="shared" si="39"/>
        <v>0</v>
      </c>
      <c r="E223" s="103">
        <v>0</v>
      </c>
      <c r="F223" s="239">
        <f t="shared" si="40"/>
        <v>0</v>
      </c>
      <c r="G223" s="65">
        <f t="shared" si="41"/>
        <v>377800</v>
      </c>
      <c r="H223" s="65">
        <f t="shared" si="42"/>
        <v>0</v>
      </c>
      <c r="I223" s="102">
        <f>H223/Discount!B5</f>
        <v>0</v>
      </c>
    </row>
    <row r="224" spans="1:19" s="54" customFormat="1">
      <c r="A224" s="54">
        <v>2021</v>
      </c>
      <c r="C224" s="62">
        <f>'Travel Time Savings'!F18*$D$66</f>
        <v>0</v>
      </c>
      <c r="D224" s="109">
        <f t="shared" si="39"/>
        <v>0</v>
      </c>
      <c r="E224" s="103">
        <v>0</v>
      </c>
      <c r="F224" s="239">
        <f t="shared" si="40"/>
        <v>0</v>
      </c>
      <c r="G224" s="65">
        <f t="shared" si="41"/>
        <v>377800</v>
      </c>
      <c r="H224" s="65">
        <f t="shared" si="42"/>
        <v>0</v>
      </c>
      <c r="I224" s="102">
        <f>H224/Discount!B6</f>
        <v>0</v>
      </c>
    </row>
    <row r="225" spans="1:9" s="54" customFormat="1">
      <c r="A225" s="54">
        <v>2022</v>
      </c>
      <c r="C225" s="62">
        <f>'Travel Time Savings'!F19*$D$66</f>
        <v>0</v>
      </c>
      <c r="D225" s="109">
        <f t="shared" si="39"/>
        <v>0</v>
      </c>
      <c r="E225" s="103">
        <v>0</v>
      </c>
      <c r="F225" s="239">
        <f t="shared" si="40"/>
        <v>0</v>
      </c>
      <c r="G225" s="65">
        <f t="shared" si="41"/>
        <v>377800</v>
      </c>
      <c r="H225" s="65">
        <f t="shared" si="42"/>
        <v>0</v>
      </c>
      <c r="I225" s="102">
        <f>H225/Discount!B7</f>
        <v>0</v>
      </c>
    </row>
    <row r="226" spans="1:9" s="54" customFormat="1">
      <c r="A226" s="54">
        <v>2023</v>
      </c>
      <c r="C226" s="62">
        <f>'Travel Time Savings'!F20*$D$66</f>
        <v>0</v>
      </c>
      <c r="D226" s="109">
        <f t="shared" si="39"/>
        <v>0</v>
      </c>
      <c r="E226" s="103">
        <v>0</v>
      </c>
      <c r="F226" s="239">
        <f t="shared" si="40"/>
        <v>0</v>
      </c>
      <c r="G226" s="65">
        <f t="shared" si="41"/>
        <v>377800</v>
      </c>
      <c r="H226" s="65">
        <f t="shared" si="42"/>
        <v>0</v>
      </c>
      <c r="I226" s="102">
        <f>H226/Discount!B8</f>
        <v>0</v>
      </c>
    </row>
    <row r="227" spans="1:9" s="54" customFormat="1">
      <c r="A227" s="54">
        <v>2024</v>
      </c>
      <c r="C227" s="62">
        <f>'Travel Time Savings'!F21*$D$66</f>
        <v>0</v>
      </c>
      <c r="D227" s="109">
        <f t="shared" si="39"/>
        <v>0</v>
      </c>
      <c r="E227" s="103">
        <v>0</v>
      </c>
      <c r="F227" s="239">
        <f t="shared" si="40"/>
        <v>0</v>
      </c>
      <c r="G227" s="65">
        <f t="shared" si="41"/>
        <v>377800</v>
      </c>
      <c r="H227" s="65">
        <f t="shared" si="42"/>
        <v>0</v>
      </c>
      <c r="I227" s="102">
        <f>H227/Discount!B9</f>
        <v>0</v>
      </c>
    </row>
    <row r="228" spans="1:9" s="54" customFormat="1">
      <c r="A228" s="54">
        <v>2025</v>
      </c>
      <c r="C228" s="62">
        <f>'Travel Time Savings'!F22*$D$66</f>
        <v>0</v>
      </c>
      <c r="D228" s="109">
        <f t="shared" si="39"/>
        <v>0</v>
      </c>
      <c r="E228" s="103">
        <v>0</v>
      </c>
      <c r="F228" s="239">
        <f t="shared" si="40"/>
        <v>0</v>
      </c>
      <c r="G228" s="65">
        <f t="shared" si="41"/>
        <v>377800</v>
      </c>
      <c r="H228" s="65">
        <f t="shared" si="42"/>
        <v>0</v>
      </c>
      <c r="I228" s="102">
        <f>H228/Discount!B10</f>
        <v>0</v>
      </c>
    </row>
    <row r="229" spans="1:9" s="54" customFormat="1">
      <c r="A229" s="54">
        <v>2026</v>
      </c>
      <c r="C229" s="62">
        <f>'Travel Time Savings'!F23*$D$66</f>
        <v>0</v>
      </c>
      <c r="D229" s="109">
        <f t="shared" si="39"/>
        <v>0</v>
      </c>
      <c r="E229" s="240">
        <f>(J67*$D$60)</f>
        <v>4.1924696000000001E-3</v>
      </c>
      <c r="F229" s="239">
        <f t="shared" si="40"/>
        <v>4.1924696000000001E-3</v>
      </c>
      <c r="G229" s="65">
        <f t="shared" si="41"/>
        <v>377800</v>
      </c>
      <c r="H229" s="65">
        <f t="shared" si="42"/>
        <v>1583.9150148799999</v>
      </c>
      <c r="I229" s="102">
        <f>H229/Discount!B11</f>
        <v>921.8529595174283</v>
      </c>
    </row>
    <row r="230" spans="1:9" s="54" customFormat="1">
      <c r="A230" s="54">
        <v>2027</v>
      </c>
      <c r="C230" s="62">
        <f>'Travel Time Savings'!F24*$D$66</f>
        <v>0</v>
      </c>
      <c r="D230" s="109">
        <f t="shared" si="39"/>
        <v>0</v>
      </c>
      <c r="E230" s="240">
        <f>(K67*$D$60)</f>
        <v>4.1924696000000001E-3</v>
      </c>
      <c r="F230" s="239">
        <f t="shared" si="40"/>
        <v>4.1924696000000001E-3</v>
      </c>
      <c r="G230" s="65">
        <f t="shared" si="41"/>
        <v>377800</v>
      </c>
      <c r="H230" s="65">
        <f t="shared" si="42"/>
        <v>1583.9150148799999</v>
      </c>
      <c r="I230" s="102">
        <f>H230/Discount!B12</f>
        <v>861.54482197890491</v>
      </c>
    </row>
    <row r="231" spans="1:9" s="54" customFormat="1">
      <c r="A231" s="54">
        <v>2028</v>
      </c>
      <c r="C231" s="62">
        <f>'Travel Time Savings'!F25*$D$66</f>
        <v>0</v>
      </c>
      <c r="D231" s="109">
        <f t="shared" si="39"/>
        <v>0</v>
      </c>
      <c r="E231" s="240">
        <f>(L67*$D$60)</f>
        <v>4.1924696000000001E-3</v>
      </c>
      <c r="F231" s="239">
        <f t="shared" si="40"/>
        <v>4.1924696000000001E-3</v>
      </c>
      <c r="G231" s="65">
        <f t="shared" si="41"/>
        <v>377800</v>
      </c>
      <c r="H231" s="65">
        <f t="shared" si="42"/>
        <v>1583.9150148799999</v>
      </c>
      <c r="I231" s="102">
        <f>H231/Discount!B13</f>
        <v>805.18207661579902</v>
      </c>
    </row>
    <row r="232" spans="1:9" s="54" customFormat="1">
      <c r="A232" s="54">
        <v>2029</v>
      </c>
      <c r="B232" s="54">
        <v>1</v>
      </c>
      <c r="C232" s="62">
        <f>'Travel Time Savings'!F26*$D$66</f>
        <v>4135.0720158628783</v>
      </c>
      <c r="D232" s="109">
        <f t="shared" si="39"/>
        <v>9.1881300192473165E-3</v>
      </c>
      <c r="E232" s="103">
        <v>0</v>
      </c>
      <c r="F232" s="239">
        <f t="shared" si="40"/>
        <v>9.1881300192473165E-3</v>
      </c>
      <c r="G232" s="65">
        <f t="shared" si="41"/>
        <v>377800</v>
      </c>
      <c r="H232" s="65">
        <f t="shared" si="42"/>
        <v>3471.2755212716361</v>
      </c>
      <c r="I232" s="102">
        <f>H232/Discount!B14</f>
        <v>1649.1779944327191</v>
      </c>
    </row>
    <row r="233" spans="1:9" s="54" customFormat="1">
      <c r="A233" s="54">
        <v>2030</v>
      </c>
      <c r="B233" s="54">
        <v>2</v>
      </c>
      <c r="C233" s="62">
        <f>'Travel Time Savings'!F27*$D$66</f>
        <v>4208.2627905436539</v>
      </c>
      <c r="D233" s="109">
        <f t="shared" si="39"/>
        <v>9.3507599205879983E-3</v>
      </c>
      <c r="E233" s="103">
        <v>0</v>
      </c>
      <c r="F233" s="239">
        <f t="shared" si="40"/>
        <v>9.3507599205879983E-3</v>
      </c>
      <c r="G233" s="65">
        <f t="shared" si="41"/>
        <v>377800</v>
      </c>
      <c r="H233" s="65">
        <f t="shared" si="42"/>
        <v>3532.7170979981456</v>
      </c>
      <c r="I233" s="102">
        <f>H233/Discount!B15</f>
        <v>1568.5686401254013</v>
      </c>
    </row>
    <row r="234" spans="1:9" s="54" customFormat="1">
      <c r="A234" s="54">
        <v>2031</v>
      </c>
      <c r="B234" s="54">
        <v>3</v>
      </c>
      <c r="C234" s="62">
        <f>'Travel Time Savings'!F28*$D$66</f>
        <v>4282.7490419362784</v>
      </c>
      <c r="D234" s="109">
        <f t="shared" si="39"/>
        <v>9.5162683711824125E-3</v>
      </c>
      <c r="E234" s="103">
        <v>0</v>
      </c>
      <c r="F234" s="239">
        <f t="shared" si="40"/>
        <v>9.5162683711824125E-3</v>
      </c>
      <c r="G234" s="65">
        <f t="shared" si="41"/>
        <v>377800</v>
      </c>
      <c r="H234" s="65">
        <f t="shared" si="42"/>
        <v>3595.2461906327153</v>
      </c>
      <c r="I234" s="102">
        <f>H234/Discount!B16</f>
        <v>1491.8993505192727</v>
      </c>
    </row>
    <row r="235" spans="1:9" s="54" customFormat="1">
      <c r="A235" s="54">
        <v>2032</v>
      </c>
      <c r="B235" s="54">
        <v>4</v>
      </c>
      <c r="C235" s="62">
        <f>'Travel Time Savings'!F29*$D$66</f>
        <v>4358.5536999785481</v>
      </c>
      <c r="D235" s="109">
        <f t="shared" si="39"/>
        <v>9.6847063213523349E-3</v>
      </c>
      <c r="E235" s="103">
        <v>0</v>
      </c>
      <c r="F235" s="239">
        <f t="shared" si="40"/>
        <v>9.6847063213523349E-3</v>
      </c>
      <c r="G235" s="65">
        <f t="shared" si="41"/>
        <v>377800</v>
      </c>
      <c r="H235" s="65">
        <f t="shared" si="42"/>
        <v>3658.8820482069123</v>
      </c>
      <c r="I235" s="102">
        <f>H235/Discount!B17</f>
        <v>1418.9775411434234</v>
      </c>
    </row>
    <row r="236" spans="1:9" s="54" customFormat="1">
      <c r="A236" s="54">
        <v>2033</v>
      </c>
      <c r="B236" s="54">
        <v>5</v>
      </c>
      <c r="C236" s="62">
        <f>'Travel Time Savings'!F30*$D$66</f>
        <v>4435.7001004681742</v>
      </c>
      <c r="D236" s="109">
        <f t="shared" si="39"/>
        <v>9.8561256232402826E-3</v>
      </c>
      <c r="E236" s="103">
        <v>0</v>
      </c>
      <c r="F236" s="239">
        <f t="shared" si="40"/>
        <v>9.8561256232402826E-3</v>
      </c>
      <c r="G236" s="65">
        <f t="shared" si="41"/>
        <v>377800</v>
      </c>
      <c r="H236" s="65">
        <f t="shared" si="42"/>
        <v>3723.6442604601789</v>
      </c>
      <c r="I236" s="102">
        <f>H236/Discount!B18</f>
        <v>1349.6200407679098</v>
      </c>
    </row>
    <row r="237" spans="1:9" s="54" customFormat="1">
      <c r="A237" s="54">
        <v>2034</v>
      </c>
      <c r="B237" s="54">
        <v>6</v>
      </c>
      <c r="C237" s="62">
        <f>'Travel Time Savings'!F31*$D$66</f>
        <v>4514.2119922464553</v>
      </c>
      <c r="D237" s="109">
        <f t="shared" si="39"/>
        <v>1.0030579046771624E-2</v>
      </c>
      <c r="E237" s="103">
        <v>0</v>
      </c>
      <c r="F237" s="239">
        <f t="shared" si="40"/>
        <v>1.0030579046771624E-2</v>
      </c>
      <c r="G237" s="65">
        <f t="shared" si="41"/>
        <v>377800</v>
      </c>
      <c r="H237" s="65">
        <f t="shared" si="42"/>
        <v>3789.5527638703197</v>
      </c>
      <c r="I237" s="102">
        <f>H237/Discount!B19</f>
        <v>1283.6526312985986</v>
      </c>
    </row>
    <row r="238" spans="1:9" s="54" customFormat="1">
      <c r="A238" s="54">
        <v>2035</v>
      </c>
      <c r="B238" s="54">
        <v>7</v>
      </c>
      <c r="C238" s="62">
        <f>'Travel Time Savings'!F32*$D$66</f>
        <v>4594.1135445092186</v>
      </c>
      <c r="D238" s="109">
        <f t="shared" si="39"/>
        <v>1.0208120295899485E-2</v>
      </c>
      <c r="E238" s="103">
        <v>0</v>
      </c>
      <c r="F238" s="239">
        <f t="shared" si="40"/>
        <v>1.0208120295899485E-2</v>
      </c>
      <c r="G238" s="65">
        <f t="shared" si="41"/>
        <v>377800</v>
      </c>
      <c r="H238" s="65">
        <f t="shared" si="42"/>
        <v>3856.6278477908254</v>
      </c>
      <c r="I238" s="102">
        <f>H238/Discount!B20</f>
        <v>1220.9096101612936</v>
      </c>
    </row>
    <row r="239" spans="1:9" s="54" customFormat="1">
      <c r="A239" s="54">
        <v>2036</v>
      </c>
      <c r="B239" s="54">
        <v>8</v>
      </c>
      <c r="C239" s="62">
        <f>'Travel Time Savings'!F33*$D$66</f>
        <v>4675.4293542470305</v>
      </c>
      <c r="D239" s="109">
        <f t="shared" si="39"/>
        <v>1.0388804025136901E-2</v>
      </c>
      <c r="E239" s="103">
        <v>0</v>
      </c>
      <c r="F239" s="239">
        <f t="shared" si="40"/>
        <v>1.0388804025136901E-2</v>
      </c>
      <c r="G239" s="65">
        <f t="shared" si="41"/>
        <v>377800</v>
      </c>
      <c r="H239" s="65">
        <f t="shared" si="42"/>
        <v>3924.8901606967211</v>
      </c>
      <c r="I239" s="102">
        <f>H239/Discount!B21</f>
        <v>1161.233374075839</v>
      </c>
    </row>
    <row r="240" spans="1:9" s="54" customFormat="1">
      <c r="A240" s="54">
        <v>2037</v>
      </c>
      <c r="B240" s="54">
        <v>9</v>
      </c>
      <c r="C240" s="62">
        <f>'Travel Time Savings'!F34*$D$66</f>
        <v>4758.1844538172054</v>
      </c>
      <c r="D240" s="109">
        <f t="shared" si="39"/>
        <v>1.057268585638183E-2</v>
      </c>
      <c r="E240" s="103">
        <v>0</v>
      </c>
      <c r="F240" s="239">
        <f t="shared" si="40"/>
        <v>1.057268585638183E-2</v>
      </c>
      <c r="G240" s="65">
        <f t="shared" si="41"/>
        <v>377800</v>
      </c>
      <c r="H240" s="65">
        <f t="shared" si="42"/>
        <v>3994.3607165410554</v>
      </c>
      <c r="I240" s="102">
        <f>H240/Discount!B22</f>
        <v>1104.4740231747496</v>
      </c>
    </row>
    <row r="241" spans="1:9" s="54" customFormat="1">
      <c r="A241" s="54">
        <v>2038</v>
      </c>
      <c r="B241" s="54">
        <v>10</v>
      </c>
      <c r="C241" s="62">
        <f>'Travel Time Savings'!F35*$D$66</f>
        <v>4842.4043186497674</v>
      </c>
      <c r="D241" s="109">
        <f t="shared" si="39"/>
        <v>1.0759822396039783E-2</v>
      </c>
      <c r="E241" s="103">
        <v>0</v>
      </c>
      <c r="F241" s="239">
        <f t="shared" si="40"/>
        <v>1.0759822396039783E-2</v>
      </c>
      <c r="G241" s="65">
        <f t="shared" si="41"/>
        <v>377800</v>
      </c>
      <c r="H241" s="65">
        <f t="shared" si="42"/>
        <v>4065.0609012238301</v>
      </c>
      <c r="I241" s="102">
        <f>H241/Discount!B23</f>
        <v>1050.4889844719087</v>
      </c>
    </row>
    <row r="242" spans="1:9" s="54" customFormat="1">
      <c r="A242" s="54">
        <v>2039</v>
      </c>
      <c r="B242" s="54">
        <v>11</v>
      </c>
      <c r="C242" s="62">
        <f>'Travel Time Savings'!F36*$D$66</f>
        <v>4928.1148750898747</v>
      </c>
      <c r="D242" s="109">
        <f t="shared" si="39"/>
        <v>1.0950271252449703E-2</v>
      </c>
      <c r="E242" s="103">
        <v>0</v>
      </c>
      <c r="F242" s="239">
        <f t="shared" si="40"/>
        <v>1.0950271252449703E-2</v>
      </c>
      <c r="G242" s="65">
        <f t="shared" si="41"/>
        <v>377800</v>
      </c>
      <c r="H242" s="65">
        <f t="shared" si="42"/>
        <v>4137.0124791754979</v>
      </c>
      <c r="I242" s="102">
        <f>H242/Discount!B24</f>
        <v>999.14265373557271</v>
      </c>
    </row>
    <row r="243" spans="1:9" s="54" customFormat="1">
      <c r="A243" s="54">
        <v>2040</v>
      </c>
      <c r="B243" s="54">
        <v>12</v>
      </c>
      <c r="C243" s="62">
        <f>'Travel Time Savings'!F37*$D$66</f>
        <v>5015.3425083789671</v>
      </c>
      <c r="D243" s="109">
        <f t="shared" si="39"/>
        <v>1.1144091053618065E-2</v>
      </c>
      <c r="E243" s="103">
        <v>0</v>
      </c>
      <c r="F243" s="239">
        <f t="shared" si="40"/>
        <v>1.1144091053618065E-2</v>
      </c>
      <c r="G243" s="65">
        <f t="shared" si="41"/>
        <v>377800</v>
      </c>
      <c r="H243" s="65">
        <f t="shared" si="42"/>
        <v>4210.2376000569047</v>
      </c>
      <c r="I243" s="102">
        <f>H243/Discount!B25</f>
        <v>950.30605486606783</v>
      </c>
    </row>
    <row r="244" spans="1:9" s="54" customFormat="1">
      <c r="A244" s="54">
        <v>2041</v>
      </c>
      <c r="B244" s="54">
        <v>13</v>
      </c>
      <c r="C244" s="62">
        <f>'Travel Time Savings'!F38*$D$66</f>
        <v>5104.1140707772684</v>
      </c>
      <c r="D244" s="109">
        <f t="shared" si="39"/>
        <v>1.134134146526709E-2</v>
      </c>
      <c r="E244" s="103">
        <v>0</v>
      </c>
      <c r="F244" s="239">
        <f t="shared" si="40"/>
        <v>1.134134146526709E-2</v>
      </c>
      <c r="G244" s="65">
        <f t="shared" si="41"/>
        <v>377800</v>
      </c>
      <c r="H244" s="65">
        <f t="shared" si="42"/>
        <v>4284.758805577907</v>
      </c>
      <c r="I244" s="102">
        <f>H244/Discount!B26</f>
        <v>903.85651592261308</v>
      </c>
    </row>
    <row r="245" spans="1:9" s="54" customFormat="1">
      <c r="A245" s="54">
        <v>2042</v>
      </c>
      <c r="B245" s="54">
        <v>14</v>
      </c>
      <c r="C245" s="62">
        <f>'Travel Time Savings'!F39*$D$66</f>
        <v>5194.4568898300276</v>
      </c>
      <c r="D245" s="109">
        <f t="shared" si="39"/>
        <v>1.1542083209202322E-2</v>
      </c>
      <c r="E245" s="103">
        <v>0</v>
      </c>
      <c r="F245" s="239">
        <f t="shared" si="40"/>
        <v>1.1542083209202322E-2</v>
      </c>
      <c r="G245" s="65">
        <f t="shared" si="41"/>
        <v>377800</v>
      </c>
      <c r="H245" s="65">
        <f t="shared" si="42"/>
        <v>4360.5990364366371</v>
      </c>
      <c r="I245" s="102">
        <f>H245/Discount!B27</f>
        <v>859.67736098546129</v>
      </c>
    </row>
    <row r="246" spans="1:9" s="54" customFormat="1">
      <c r="A246" s="54">
        <v>2043</v>
      </c>
      <c r="B246" s="54">
        <v>15</v>
      </c>
      <c r="C246" s="62">
        <f>'Travel Time Savings'!F40*$D$66</f>
        <v>5286.398776780019</v>
      </c>
      <c r="D246" s="109">
        <f t="shared" si="39"/>
        <v>1.1746378082005203E-2</v>
      </c>
      <c r="E246" s="103">
        <v>0</v>
      </c>
      <c r="F246" s="239">
        <f t="shared" si="40"/>
        <v>1.1746378082005203E-2</v>
      </c>
      <c r="G246" s="65">
        <f t="shared" si="41"/>
        <v>377800</v>
      </c>
      <c r="H246" s="65">
        <f t="shared" si="42"/>
        <v>4437.7816393815656</v>
      </c>
      <c r="I246" s="102">
        <f>H246/Discount!B28</f>
        <v>817.65761707934951</v>
      </c>
    </row>
    <row r="247" spans="1:9" s="54" customFormat="1">
      <c r="A247" s="54">
        <v>2044</v>
      </c>
      <c r="B247" s="54">
        <v>16</v>
      </c>
      <c r="C247" s="62">
        <f>'Travel Time Savings'!F41*$D$66</f>
        <v>5379.9680351290272</v>
      </c>
      <c r="D247" s="109">
        <f t="shared" si="39"/>
        <v>1.19542889740567E-2</v>
      </c>
      <c r="E247" s="103">
        <v>0</v>
      </c>
      <c r="F247" s="239">
        <f t="shared" si="40"/>
        <v>1.19542889740567E-2</v>
      </c>
      <c r="G247" s="65">
        <f t="shared" si="41"/>
        <v>377800</v>
      </c>
      <c r="H247" s="65">
        <f t="shared" si="42"/>
        <v>4516.3303743986216</v>
      </c>
      <c r="I247" s="102">
        <f>H247/Discount!B29</f>
        <v>777.69173542210694</v>
      </c>
    </row>
    <row r="248" spans="1:9" s="54" customFormat="1">
      <c r="A248" s="54">
        <v>2045</v>
      </c>
      <c r="B248" s="54">
        <v>17</v>
      </c>
      <c r="C248" s="62">
        <f>'Travel Time Savings'!F42*$D$66</f>
        <v>5475.1934693508119</v>
      </c>
      <c r="D248" s="109">
        <f t="shared" si="39"/>
        <v>1.2165879888897503E-2</v>
      </c>
      <c r="E248" s="103">
        <v>0</v>
      </c>
      <c r="F248" s="239">
        <f t="shared" si="40"/>
        <v>1.2165879888897503E-2</v>
      </c>
      <c r="G248" s="65">
        <f t="shared" si="41"/>
        <v>377800</v>
      </c>
      <c r="H248" s="65">
        <f t="shared" si="42"/>
        <v>4596.2694220254771</v>
      </c>
      <c r="I248" s="102">
        <f>H248/Discount!B30</f>
        <v>739.67932629820382</v>
      </c>
    </row>
    <row r="249" spans="1:9" s="54" customFormat="1">
      <c r="A249" s="54">
        <v>2046</v>
      </c>
      <c r="B249" s="54">
        <v>18</v>
      </c>
      <c r="C249" s="62">
        <f>'Travel Time Savings'!F43*$D$66</f>
        <v>5572.1043937583181</v>
      </c>
      <c r="D249" s="109">
        <f t="shared" si="39"/>
        <v>1.2381215962930982E-2</v>
      </c>
      <c r="E249" s="103">
        <v>0</v>
      </c>
      <c r="F249" s="239">
        <f t="shared" si="40"/>
        <v>1.2381215962930982E-2</v>
      </c>
      <c r="G249" s="65">
        <f t="shared" si="41"/>
        <v>377800</v>
      </c>
      <c r="H249" s="65">
        <f t="shared" si="42"/>
        <v>4677.6233907953256</v>
      </c>
      <c r="I249" s="102">
        <f>H249/Discount!B31</f>
        <v>703.52490689129138</v>
      </c>
    </row>
    <row r="250" spans="1:9" s="54" customFormat="1">
      <c r="A250" s="54">
        <v>2047</v>
      </c>
      <c r="B250" s="54">
        <v>19</v>
      </c>
      <c r="C250" s="62">
        <f>'Travel Time Savings'!F44*$D$66</f>
        <v>5670.7306415278408</v>
      </c>
      <c r="D250" s="109">
        <f t="shared" si="39"/>
        <v>1.2600363485474863E-2</v>
      </c>
      <c r="E250" s="103">
        <v>0</v>
      </c>
      <c r="F250" s="239">
        <f t="shared" si="40"/>
        <v>1.2600363485474863E-2</v>
      </c>
      <c r="G250" s="65">
        <f t="shared" si="41"/>
        <v>377800</v>
      </c>
      <c r="H250" s="65">
        <f t="shared" si="42"/>
        <v>4760.4173248124034</v>
      </c>
      <c r="I250" s="102">
        <f>H250/Discount!B32</f>
        <v>669.1376614423059</v>
      </c>
    </row>
    <row r="251" spans="1:9" s="54" customFormat="1">
      <c r="A251" s="54">
        <v>2048</v>
      </c>
      <c r="B251" s="54">
        <v>20</v>
      </c>
      <c r="C251" s="62">
        <f>'Travel Time Savings'!F45*$D$66</f>
        <v>5771.1025738828876</v>
      </c>
      <c r="D251" s="109">
        <f t="shared" si="39"/>
        <v>1.2823389919167776E-2</v>
      </c>
      <c r="E251" s="103">
        <v>0</v>
      </c>
      <c r="F251" s="239">
        <f t="shared" si="40"/>
        <v>1.2823389919167776E-2</v>
      </c>
      <c r="G251" s="65">
        <f t="shared" si="41"/>
        <v>377800</v>
      </c>
      <c r="H251" s="65">
        <f t="shared" si="42"/>
        <v>4844.6767114615859</v>
      </c>
      <c r="I251" s="102">
        <f>H251/Discount!B33</f>
        <v>636.43121313068707</v>
      </c>
    </row>
    <row r="252" spans="1:9" s="54" customFormat="1">
      <c r="A252" s="54">
        <v>2049</v>
      </c>
      <c r="B252" s="54">
        <v>21</v>
      </c>
      <c r="C252" s="62">
        <f>'Travel Time Savings'!F46*$D$66</f>
        <v>5873.2510894406096</v>
      </c>
      <c r="D252" s="109">
        <f t="shared" si="39"/>
        <v>1.3050363920737034E-2</v>
      </c>
      <c r="E252" s="103">
        <v>0</v>
      </c>
      <c r="F252" s="239">
        <f t="shared" si="40"/>
        <v>1.3050363920737034E-2</v>
      </c>
      <c r="G252" s="65">
        <f t="shared" si="41"/>
        <v>377800</v>
      </c>
      <c r="H252" s="65">
        <f t="shared" si="42"/>
        <v>4930.4274892544518</v>
      </c>
      <c r="I252" s="102">
        <f>H252/Discount!B34</f>
        <v>605.32340710570054</v>
      </c>
    </row>
    <row r="253" spans="1:9" s="54" customFormat="1">
      <c r="A253" s="54">
        <v>2050</v>
      </c>
      <c r="B253" s="54">
        <v>22</v>
      </c>
      <c r="C253" s="62">
        <f>'Travel Time Savings'!F47*$D$66</f>
        <v>5977.2076337237168</v>
      </c>
      <c r="D253" s="109">
        <f t="shared" si="39"/>
        <v>1.3281355362134099E-2</v>
      </c>
      <c r="E253" s="103">
        <v>0</v>
      </c>
      <c r="F253" s="239">
        <f t="shared" si="40"/>
        <v>1.3281355362134099E-2</v>
      </c>
      <c r="G253" s="65">
        <f t="shared" si="41"/>
        <v>377800</v>
      </c>
      <c r="H253" s="65">
        <f t="shared" si="42"/>
        <v>5017.6960558142628</v>
      </c>
      <c r="I253" s="102">
        <f>H253/Discount!B35</f>
        <v>575.73610412287132</v>
      </c>
    </row>
    <row r="254" spans="1:9" s="54" customFormat="1">
      <c r="A254" s="54">
        <v>2051</v>
      </c>
      <c r="B254" s="54">
        <v>23</v>
      </c>
      <c r="C254" s="62">
        <f>'Travel Time Savings'!F48*$D$66</f>
        <v>6083.0042088406244</v>
      </c>
      <c r="D254" s="109">
        <f t="shared" si="39"/>
        <v>1.3516435352043868E-2</v>
      </c>
      <c r="E254" s="103">
        <v>0</v>
      </c>
      <c r="F254" s="239">
        <f t="shared" si="40"/>
        <v>1.3516435352043868E-2</v>
      </c>
      <c r="G254" s="65">
        <f t="shared" si="41"/>
        <v>377800</v>
      </c>
      <c r="H254" s="65">
        <f t="shared" si="42"/>
        <v>5106.5092760021735</v>
      </c>
      <c r="I254" s="102">
        <f>H254/Discount!B36</f>
        <v>547.59498426714572</v>
      </c>
    </row>
    <row r="255" spans="1:9" s="54" customFormat="1">
      <c r="A255" s="54">
        <v>2052</v>
      </c>
      <c r="B255" s="54">
        <v>24</v>
      </c>
      <c r="C255" s="62">
        <f>'Travel Time Savings'!F49*$D$66</f>
        <v>6190.6733833371063</v>
      </c>
      <c r="D255" s="109">
        <f t="shared" si="39"/>
        <v>1.3755676257775051E-2</v>
      </c>
      <c r="E255" s="103">
        <v>0</v>
      </c>
      <c r="F255" s="239">
        <f t="shared" si="40"/>
        <v>1.3755676257775051E-2</v>
      </c>
      <c r="G255" s="65">
        <f t="shared" si="41"/>
        <v>377800</v>
      </c>
      <c r="H255" s="65">
        <f t="shared" si="42"/>
        <v>5196.8944901874147</v>
      </c>
      <c r="I255" s="102">
        <f>H255/Discount!B37</f>
        <v>520.82936026978928</v>
      </c>
    </row>
    <row r="256" spans="1:9" s="54" customFormat="1">
      <c r="A256" s="54">
        <v>2053</v>
      </c>
      <c r="B256" s="54">
        <v>25</v>
      </c>
      <c r="C256" s="62">
        <f>'Travel Time Savings'!F50*$D$66</f>
        <v>6300.2483022221704</v>
      </c>
      <c r="D256" s="109">
        <f t="shared" si="39"/>
        <v>1.3999151727537663E-2</v>
      </c>
      <c r="E256" s="103">
        <v>0</v>
      </c>
      <c r="F256" s="239">
        <f t="shared" si="40"/>
        <v>1.3999151727537663E-2</v>
      </c>
      <c r="G256" s="65">
        <f t="shared" si="41"/>
        <v>377800</v>
      </c>
      <c r="H256" s="65">
        <f t="shared" si="42"/>
        <v>5288.8795226637294</v>
      </c>
      <c r="I256" s="102">
        <f>H256/Discount!B38</f>
        <v>495.37199995006006</v>
      </c>
    </row>
    <row r="257" spans="1:9" s="54" customFormat="1">
      <c r="A257" s="54">
        <v>2054</v>
      </c>
      <c r="B257" s="54">
        <v>26</v>
      </c>
      <c r="C257" s="62">
        <f>'Travel Time Savings'!F51*$D$66</f>
        <v>6411.7626971714935</v>
      </c>
      <c r="D257" s="109">
        <f t="shared" si="39"/>
        <v>1.424693671311506E-2</v>
      </c>
      <c r="E257" s="103">
        <v>0</v>
      </c>
      <c r="F257" s="239">
        <f t="shared" si="40"/>
        <v>1.424693671311506E-2</v>
      </c>
      <c r="G257" s="65">
        <f t="shared" si="41"/>
        <v>377800</v>
      </c>
      <c r="H257" s="65">
        <f t="shared" si="42"/>
        <v>5382.49269021487</v>
      </c>
      <c r="I257" s="102">
        <f>H257/Discount!B39</f>
        <v>471.158957335678</v>
      </c>
    </row>
    <row r="258" spans="1:9" s="54" customFormat="1">
      <c r="A258" s="54">
        <v>2055</v>
      </c>
      <c r="B258" s="54">
        <v>27</v>
      </c>
      <c r="C258" s="62">
        <f>'Travel Time Savings'!F52*$D$66</f>
        <v>6525.2508969114369</v>
      </c>
      <c r="D258" s="109">
        <f t="shared" si="39"/>
        <v>1.4499107492937214E-2</v>
      </c>
      <c r="E258" s="103">
        <v>0</v>
      </c>
      <c r="F258" s="239">
        <f t="shared" si="40"/>
        <v>1.4499107492937214E-2</v>
      </c>
      <c r="G258" s="65">
        <f t="shared" si="41"/>
        <v>377800</v>
      </c>
      <c r="H258" s="65">
        <f t="shared" si="42"/>
        <v>5477.7628108316794</v>
      </c>
      <c r="I258" s="102">
        <f>H258/Discount!B40</f>
        <v>448.12941203786914</v>
      </c>
    </row>
    <row r="259" spans="1:9" s="54" customFormat="1">
      <c r="A259" s="54">
        <v>2056</v>
      </c>
      <c r="B259" s="54">
        <v>28</v>
      </c>
      <c r="C259" s="62">
        <f>'Travel Time Savings'!F53*$D$66</f>
        <v>6640.7478377867728</v>
      </c>
      <c r="D259" s="109">
        <f t="shared" si="39"/>
        <v>1.475574169556221E-2</v>
      </c>
      <c r="E259" s="103">
        <v>0</v>
      </c>
      <c r="F259" s="239">
        <f t="shared" si="40"/>
        <v>1.475574169556221E-2</v>
      </c>
      <c r="G259" s="65">
        <f t="shared" si="41"/>
        <v>377800</v>
      </c>
      <c r="H259" s="65">
        <f t="shared" si="42"/>
        <v>5574.7192125834026</v>
      </c>
      <c r="I259" s="102">
        <f>H259/Discount!B41</f>
        <v>426.22551647751368</v>
      </c>
    </row>
    <row r="260" spans="1:9" s="54" customFormat="1">
      <c r="A260" s="54">
        <v>2057</v>
      </c>
      <c r="B260" s="54">
        <v>29</v>
      </c>
      <c r="C260" s="62">
        <f>'Travel Time Savings'!F54*$D$66</f>
        <v>6758.289074515591</v>
      </c>
      <c r="D260" s="109">
        <f t="shared" si="39"/>
        <v>1.5016918323573644E-2</v>
      </c>
      <c r="E260" s="103">
        <v>0</v>
      </c>
      <c r="F260" s="239">
        <f t="shared" si="40"/>
        <v>1.5016918323573644E-2</v>
      </c>
      <c r="G260" s="65">
        <f t="shared" si="41"/>
        <v>377800</v>
      </c>
      <c r="H260" s="65">
        <f t="shared" si="42"/>
        <v>5673.391742646123</v>
      </c>
      <c r="I260" s="102">
        <f>H260/Discount!B42</f>
        <v>405.39225057865912</v>
      </c>
    </row>
    <row r="261" spans="1:9" s="54" customFormat="1">
      <c r="A261" s="54">
        <v>2058</v>
      </c>
      <c r="B261" s="54">
        <v>30</v>
      </c>
      <c r="C261" s="62">
        <f>'Travel Time Savings'!F55*$D$66</f>
        <v>6877.9107911345209</v>
      </c>
      <c r="D261" s="109">
        <f t="shared" si="39"/>
        <v>1.5282717777900906E-2</v>
      </c>
      <c r="E261" s="103">
        <v>0</v>
      </c>
      <c r="F261" s="239">
        <f t="shared" si="40"/>
        <v>1.5282717777900906E-2</v>
      </c>
      <c r="G261" s="65">
        <f t="shared" si="41"/>
        <v>377800</v>
      </c>
      <c r="H261" s="65">
        <f t="shared" si="42"/>
        <v>5773.8107764909628</v>
      </c>
      <c r="I261" s="102">
        <f>H261/Discount!B43</f>
        <v>385.57728356439401</v>
      </c>
    </row>
    <row r="262" spans="1:9" s="54" customFormat="1" ht="30" customHeight="1" thickBot="1">
      <c r="A262" s="306" t="s">
        <v>387</v>
      </c>
      <c r="B262" s="306"/>
      <c r="C262" s="306"/>
      <c r="D262" s="110">
        <f>SUM(D221:D261)</f>
        <v>0.35960970979222695</v>
      </c>
      <c r="E262" s="108">
        <f t="shared" ref="E262" si="43">SUM(E221:E261)</f>
        <v>1.25774088E-2</v>
      </c>
      <c r="F262" s="110">
        <f t="shared" ref="F262" si="44">SUM(F221:F261)</f>
        <v>0.37218711859222703</v>
      </c>
      <c r="G262" s="68"/>
      <c r="H262" s="70">
        <f>SUM(H221:H261)</f>
        <v>140612.29340414333</v>
      </c>
      <c r="I262" s="70">
        <f>SUM(I221:I261)</f>
        <v>28826.026369766594</v>
      </c>
    </row>
    <row r="263" spans="1:9" s="54" customFormat="1" ht="15.75" thickTop="1"/>
    <row r="264" spans="1:9" s="54" customFormat="1">
      <c r="A264" s="370" t="s">
        <v>317</v>
      </c>
      <c r="B264" s="371"/>
      <c r="C264" s="371"/>
      <c r="D264" s="371"/>
      <c r="E264" s="371"/>
    </row>
    <row r="265" spans="1:9" s="54" customFormat="1">
      <c r="A265" s="364" t="s">
        <v>644</v>
      </c>
      <c r="B265" s="365"/>
      <c r="C265" s="365"/>
      <c r="D265" s="365"/>
      <c r="E265" s="365"/>
    </row>
  </sheetData>
  <mergeCells count="67">
    <mergeCell ref="I127:K127"/>
    <mergeCell ref="A172:C172"/>
    <mergeCell ref="I172:K172"/>
    <mergeCell ref="A217:C217"/>
    <mergeCell ref="I217:K217"/>
    <mergeCell ref="I129:O129"/>
    <mergeCell ref="A1:H1"/>
    <mergeCell ref="A2:H2"/>
    <mergeCell ref="A3:H3"/>
    <mergeCell ref="A4:H4"/>
    <mergeCell ref="A82:E82"/>
    <mergeCell ref="E68:F68"/>
    <mergeCell ref="A69:C69"/>
    <mergeCell ref="E69:F69"/>
    <mergeCell ref="A70:C70"/>
    <mergeCell ref="E70:F70"/>
    <mergeCell ref="A71:C71"/>
    <mergeCell ref="A68:C68"/>
    <mergeCell ref="A63:C63"/>
    <mergeCell ref="A64:C64"/>
    <mergeCell ref="A65:C65"/>
    <mergeCell ref="A66:C66"/>
    <mergeCell ref="A265:E265"/>
    <mergeCell ref="A72:C72"/>
    <mergeCell ref="A73:C73"/>
    <mergeCell ref="E73:F73"/>
    <mergeCell ref="A74:C74"/>
    <mergeCell ref="E74:F74"/>
    <mergeCell ref="A84:G84"/>
    <mergeCell ref="E72:F72"/>
    <mergeCell ref="A76:C76"/>
    <mergeCell ref="D76:E76"/>
    <mergeCell ref="A129:G129"/>
    <mergeCell ref="A219:G219"/>
    <mergeCell ref="A262:C262"/>
    <mergeCell ref="A174:G174"/>
    <mergeCell ref="A264:E264"/>
    <mergeCell ref="A127:C127"/>
    <mergeCell ref="A67:C67"/>
    <mergeCell ref="E61:F61"/>
    <mergeCell ref="A62:C62"/>
    <mergeCell ref="E62:F62"/>
    <mergeCell ref="A55:C55"/>
    <mergeCell ref="A57:C57"/>
    <mergeCell ref="A58:C58"/>
    <mergeCell ref="A59:C59"/>
    <mergeCell ref="E59:F59"/>
    <mergeCell ref="A60:C60"/>
    <mergeCell ref="E60:F60"/>
    <mergeCell ref="A56:C56"/>
    <mergeCell ref="E55:F55"/>
    <mergeCell ref="I84:L84"/>
    <mergeCell ref="I174:L174"/>
    <mergeCell ref="A48:B48"/>
    <mergeCell ref="H62:I63"/>
    <mergeCell ref="J62:L62"/>
    <mergeCell ref="H50:M50"/>
    <mergeCell ref="A54:C54"/>
    <mergeCell ref="E54:F54"/>
    <mergeCell ref="A50:D50"/>
    <mergeCell ref="E50:F50"/>
    <mergeCell ref="A51:C51"/>
    <mergeCell ref="E51:F52"/>
    <mergeCell ref="A52:C52"/>
    <mergeCell ref="A53:C53"/>
    <mergeCell ref="E53:F53"/>
    <mergeCell ref="A61:C61"/>
  </mergeCells>
  <hyperlinks>
    <hyperlink ref="E53:F53" r:id="rId1" display="Average Age of Automobiles and Trucks in Operation in the United States" xr:uid="{DEB07DD8-5D2B-45F6-9090-3683577979DF}"/>
    <hyperlink ref="E54:F54" r:id="rId2" display="https://www.bts.gov/content/average-fuel-efficiency-us-light-duty-vehicles" xr:uid="{FA0E84C6-6EA1-4CE0-834F-EAE1EAC8ECA6}"/>
    <hyperlink ref="A82:C82" r:id="rId3" display="EPA Publication click here" xr:uid="{26334D32-B446-492E-9378-E64249B6FBF5}"/>
    <hyperlink ref="C81" r:id="rId4" xr:uid="{6DAD7B8B-7E75-45A5-933A-F7FBE0758566}"/>
    <hyperlink ref="F56" r:id="rId5" xr:uid="{01930CAB-D905-46CB-BAE4-7936129DCCBD}"/>
    <hyperlink ref="F57" r:id="rId6" xr:uid="{F1669A5A-CFE2-4EA1-9884-87AA87EA5A1F}"/>
  </hyperlinks>
  <pageMargins left="0.7" right="0.7" top="0.75" bottom="0.75" header="0.3" footer="0.3"/>
  <pageSetup orientation="portrait"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97C19-033E-4064-AA86-E3ACDE7910AA}">
  <dimension ref="A1:G53"/>
  <sheetViews>
    <sheetView topLeftCell="A37" zoomScaleNormal="100" workbookViewId="0">
      <selection activeCell="A48" sqref="A48:B48"/>
    </sheetView>
  </sheetViews>
  <sheetFormatPr defaultRowHeight="15"/>
  <cols>
    <col min="1" max="4" width="20.7109375" customWidth="1"/>
    <col min="5" max="6" width="22.140625" customWidth="1"/>
    <col min="7" max="7" width="21.140625" bestFit="1" customWidth="1"/>
    <col min="8" max="8" width="19" bestFit="1" customWidth="1"/>
    <col min="9" max="9" width="15.28515625" bestFit="1" customWidth="1"/>
    <col min="10" max="10" width="21.85546875" bestFit="1" customWidth="1"/>
    <col min="11" max="11" width="18.140625" bestFit="1" customWidth="1"/>
    <col min="12" max="13" width="15.5703125" bestFit="1" customWidth="1"/>
    <col min="14" max="14" width="19.42578125" bestFit="1" customWidth="1"/>
    <col min="15" max="15" width="20.140625" bestFit="1" customWidth="1"/>
    <col min="16" max="16" width="15.7109375" bestFit="1" customWidth="1"/>
  </cols>
  <sheetData>
    <row r="1" spans="1:7" ht="23.25">
      <c r="A1" s="377" t="s">
        <v>10</v>
      </c>
      <c r="B1" s="377"/>
      <c r="C1" s="377"/>
      <c r="D1" s="377"/>
      <c r="E1" s="377"/>
    </row>
    <row r="2" spans="1:7" ht="20.25" thickBot="1">
      <c r="A2" s="263" t="s">
        <v>9</v>
      </c>
      <c r="B2" s="263"/>
      <c r="C2" s="263"/>
      <c r="D2" s="263"/>
      <c r="E2" s="263"/>
    </row>
    <row r="3" spans="1:7" ht="21" thickTop="1" thickBot="1">
      <c r="A3" s="263" t="s">
        <v>1</v>
      </c>
      <c r="B3" s="263"/>
      <c r="C3" s="263"/>
      <c r="D3" s="263"/>
      <c r="E3" s="263"/>
    </row>
    <row r="4" spans="1:7" ht="16.5" thickTop="1" thickBot="1">
      <c r="A4" s="285" t="s">
        <v>677</v>
      </c>
      <c r="B4" s="285"/>
      <c r="C4" s="285"/>
      <c r="D4" s="285"/>
      <c r="E4" s="285"/>
    </row>
    <row r="6" spans="1:7" s="54" customFormat="1" ht="45">
      <c r="A6" s="61" t="s">
        <v>25</v>
      </c>
      <c r="B6" s="61" t="s">
        <v>26</v>
      </c>
      <c r="C6" s="61" t="s">
        <v>684</v>
      </c>
      <c r="D6" s="61" t="s">
        <v>687</v>
      </c>
      <c r="E6" s="61" t="s">
        <v>28</v>
      </c>
      <c r="F6" s="61" t="s">
        <v>688</v>
      </c>
      <c r="G6" s="61" t="s">
        <v>28</v>
      </c>
    </row>
    <row r="7" spans="1:7" s="54" customFormat="1">
      <c r="A7" s="54">
        <v>2019</v>
      </c>
      <c r="C7" s="63">
        <f>B51</f>
        <v>966</v>
      </c>
      <c r="D7" s="65">
        <v>0</v>
      </c>
      <c r="E7" s="66">
        <f>D7/Discount!B3</f>
        <v>0</v>
      </c>
      <c r="F7" s="65">
        <v>0</v>
      </c>
      <c r="G7" s="66">
        <f>F7/Discount!B3</f>
        <v>0</v>
      </c>
    </row>
    <row r="8" spans="1:7" s="54" customFormat="1">
      <c r="A8" s="54">
        <v>2020</v>
      </c>
      <c r="C8" s="105">
        <f>C7*(1+$B$52)</f>
        <v>1008.1176</v>
      </c>
      <c r="D8" s="65">
        <v>0</v>
      </c>
      <c r="E8" s="66">
        <f>D8/Discount!B4</f>
        <v>0</v>
      </c>
      <c r="F8" s="65">
        <v>0</v>
      </c>
      <c r="G8" s="66">
        <f>F8/Discount!B4</f>
        <v>0</v>
      </c>
    </row>
    <row r="9" spans="1:7" s="54" customFormat="1">
      <c r="A9" s="54">
        <v>2021</v>
      </c>
      <c r="C9" s="105">
        <f t="shared" ref="C9:C47" si="0">C8*(1+$B$52)</f>
        <v>1052.0715273600001</v>
      </c>
      <c r="D9" s="65">
        <v>0</v>
      </c>
      <c r="E9" s="66">
        <f>D9/Discount!B5</f>
        <v>0</v>
      </c>
      <c r="F9" s="65">
        <v>0</v>
      </c>
      <c r="G9" s="66">
        <f>F9/Discount!B5</f>
        <v>0</v>
      </c>
    </row>
    <row r="10" spans="1:7" s="54" customFormat="1">
      <c r="A10" s="54">
        <v>2022</v>
      </c>
      <c r="C10" s="105">
        <f t="shared" si="0"/>
        <v>1097.9418459528963</v>
      </c>
      <c r="D10" s="65">
        <v>0</v>
      </c>
      <c r="E10" s="66">
        <f>D10/Discount!B6</f>
        <v>0</v>
      </c>
      <c r="F10" s="65">
        <v>0</v>
      </c>
      <c r="G10" s="66">
        <f>F10/Discount!B6</f>
        <v>0</v>
      </c>
    </row>
    <row r="11" spans="1:7" s="54" customFormat="1">
      <c r="A11" s="54">
        <v>2023</v>
      </c>
      <c r="C11" s="105">
        <f t="shared" si="0"/>
        <v>1145.8121104364427</v>
      </c>
      <c r="D11" s="65">
        <v>0</v>
      </c>
      <c r="E11" s="66">
        <f>D11/Discount!B7</f>
        <v>0</v>
      </c>
      <c r="F11" s="65">
        <v>0</v>
      </c>
      <c r="G11" s="66">
        <f>F11/Discount!B7</f>
        <v>0</v>
      </c>
    </row>
    <row r="12" spans="1:7" s="54" customFormat="1">
      <c r="A12" s="54">
        <v>2024</v>
      </c>
      <c r="C12" s="105">
        <f t="shared" si="0"/>
        <v>1195.7695184514716</v>
      </c>
      <c r="D12" s="65">
        <v>0</v>
      </c>
      <c r="E12" s="66">
        <f>D12/Discount!B8</f>
        <v>0</v>
      </c>
      <c r="F12" s="65">
        <v>0</v>
      </c>
      <c r="G12" s="66">
        <f>F12/Discount!B8</f>
        <v>0</v>
      </c>
    </row>
    <row r="13" spans="1:7" s="54" customFormat="1">
      <c r="A13" s="54">
        <v>2025</v>
      </c>
      <c r="C13" s="105">
        <f t="shared" si="0"/>
        <v>1247.905069455956</v>
      </c>
      <c r="D13" s="65">
        <v>0</v>
      </c>
      <c r="E13" s="66">
        <f>D13/Discount!B9</f>
        <v>0</v>
      </c>
      <c r="F13" s="65">
        <f>C13*$B$53</f>
        <v>704330.10025163612</v>
      </c>
      <c r="G13" s="66">
        <f>F13/Discount!B9</f>
        <v>469324.88530258241</v>
      </c>
    </row>
    <row r="14" spans="1:7" s="54" customFormat="1">
      <c r="A14" s="54">
        <v>2026</v>
      </c>
      <c r="C14" s="105">
        <f t="shared" si="0"/>
        <v>1302.3137304842357</v>
      </c>
      <c r="D14" s="65">
        <v>0</v>
      </c>
      <c r="E14" s="66">
        <f>D14/Discount!B10</f>
        <v>0</v>
      </c>
      <c r="F14" s="65">
        <f t="shared" ref="F14:F47" si="1">C14*$B$53</f>
        <v>735038.89262260741</v>
      </c>
      <c r="G14" s="66">
        <f>F14/Discount!B10</f>
        <v>457745.28065586445</v>
      </c>
    </row>
    <row r="15" spans="1:7" s="54" customFormat="1">
      <c r="A15" s="54">
        <v>2027</v>
      </c>
      <c r="C15" s="105">
        <f t="shared" si="0"/>
        <v>1359.0946091333485</v>
      </c>
      <c r="D15" s="65">
        <v>0</v>
      </c>
      <c r="E15" s="66">
        <f>D15/Discount!B11</f>
        <v>0</v>
      </c>
      <c r="F15" s="65">
        <f t="shared" si="1"/>
        <v>767086.58834095323</v>
      </c>
      <c r="G15" s="66">
        <f>F15/Discount!B11</f>
        <v>446451.37840416841</v>
      </c>
    </row>
    <row r="16" spans="1:7" s="54" customFormat="1">
      <c r="A16" s="54">
        <v>2028</v>
      </c>
      <c r="C16" s="105">
        <f t="shared" si="0"/>
        <v>1418.3511340915627</v>
      </c>
      <c r="D16" s="65">
        <v>0</v>
      </c>
      <c r="E16" s="66">
        <f>D16/Discount!B12</f>
        <v>0</v>
      </c>
      <c r="F16" s="65">
        <f t="shared" si="1"/>
        <v>800531.56359261891</v>
      </c>
      <c r="G16" s="66">
        <f>F16/Discount!B12</f>
        <v>435436.12944167311</v>
      </c>
    </row>
    <row r="17" spans="1:7" s="54" customFormat="1">
      <c r="A17" s="54">
        <v>2029</v>
      </c>
      <c r="C17" s="105">
        <f t="shared" si="0"/>
        <v>1480.191243537955</v>
      </c>
      <c r="D17" s="65">
        <v>0</v>
      </c>
      <c r="E17" s="66">
        <f>D17/Discount!B13</f>
        <v>0</v>
      </c>
      <c r="F17" s="65">
        <f t="shared" si="1"/>
        <v>835434.73976525711</v>
      </c>
      <c r="G17" s="66">
        <f>F17/Discount!B13</f>
        <v>424692.65858442063</v>
      </c>
    </row>
    <row r="18" spans="1:7" s="54" customFormat="1">
      <c r="A18" s="54">
        <v>2030</v>
      </c>
      <c r="B18" s="54">
        <v>1</v>
      </c>
      <c r="C18" s="105">
        <f t="shared" si="0"/>
        <v>1544.7275817562099</v>
      </c>
      <c r="D18" s="65">
        <f t="shared" ref="D18:D47" si="2">C18*$B$53</f>
        <v>871859.69441902242</v>
      </c>
      <c r="E18" s="66">
        <f>D18/Discount!B14</f>
        <v>414214.26027916017</v>
      </c>
      <c r="F18" s="65">
        <f t="shared" si="1"/>
        <v>871859.69441902242</v>
      </c>
      <c r="G18" s="66">
        <f>F18/Discount!B14</f>
        <v>414214.26027916017</v>
      </c>
    </row>
    <row r="19" spans="1:7" s="54" customFormat="1">
      <c r="A19" s="54">
        <v>2031</v>
      </c>
      <c r="B19" s="54">
        <v>2</v>
      </c>
      <c r="C19" s="105">
        <f t="shared" si="0"/>
        <v>1612.0777043207809</v>
      </c>
      <c r="D19" s="65">
        <f t="shared" si="2"/>
        <v>909872.77709569188</v>
      </c>
      <c r="E19" s="66">
        <f>D19/Discount!B15</f>
        <v>403994.39441806695</v>
      </c>
      <c r="F19" s="65">
        <f t="shared" si="1"/>
        <v>909872.77709569188</v>
      </c>
      <c r="G19" s="66">
        <f>F19/Discount!B15</f>
        <v>403994.39441806695</v>
      </c>
    </row>
    <row r="20" spans="1:7" s="54" customFormat="1">
      <c r="A20" s="54">
        <v>2032</v>
      </c>
      <c r="B20" s="54">
        <v>3</v>
      </c>
      <c r="C20" s="105">
        <f t="shared" si="0"/>
        <v>1682.3642922291669</v>
      </c>
      <c r="D20" s="65">
        <f t="shared" si="2"/>
        <v>949543.23017706408</v>
      </c>
      <c r="E20" s="66">
        <f>D20/Discount!B16</f>
        <v>394026.68225672399</v>
      </c>
      <c r="F20" s="65">
        <f t="shared" si="1"/>
        <v>949543.23017706408</v>
      </c>
      <c r="G20" s="66">
        <f>F20/Discount!B16</f>
        <v>394026.68225672399</v>
      </c>
    </row>
    <row r="21" spans="1:7" s="54" customFormat="1">
      <c r="A21" s="54">
        <v>2033</v>
      </c>
      <c r="B21" s="54">
        <v>4</v>
      </c>
      <c r="C21" s="105">
        <f t="shared" si="0"/>
        <v>1755.7153753703587</v>
      </c>
      <c r="D21" s="65">
        <f t="shared" si="2"/>
        <v>990943.31501278409</v>
      </c>
      <c r="E21" s="66">
        <f>D21/Discount!B17</f>
        <v>384304.90243281977</v>
      </c>
      <c r="F21" s="65">
        <f t="shared" si="1"/>
        <v>990943.31501278409</v>
      </c>
      <c r="G21" s="66">
        <f>F21/Discount!B17</f>
        <v>384304.90243281977</v>
      </c>
    </row>
    <row r="22" spans="1:7" s="54" customFormat="1">
      <c r="A22" s="54">
        <v>2034</v>
      </c>
      <c r="B22" s="54">
        <v>5</v>
      </c>
      <c r="C22" s="105">
        <f t="shared" si="0"/>
        <v>1832.2645657365065</v>
      </c>
      <c r="D22" s="65">
        <f t="shared" si="2"/>
        <v>1034148.4435473416</v>
      </c>
      <c r="E22" s="66">
        <f>D22/Discount!B18</f>
        <v>374822.98708307545</v>
      </c>
      <c r="F22" s="65">
        <f t="shared" si="1"/>
        <v>1034148.4435473416</v>
      </c>
      <c r="G22" s="66">
        <f>F22/Discount!B18</f>
        <v>374822.98708307545</v>
      </c>
    </row>
    <row r="23" spans="1:7" s="54" customFormat="1">
      <c r="A23" s="54">
        <v>2035</v>
      </c>
      <c r="B23" s="54">
        <v>6</v>
      </c>
      <c r="C23" s="105">
        <f t="shared" si="0"/>
        <v>1912.1513008026184</v>
      </c>
      <c r="D23" s="65">
        <f t="shared" si="2"/>
        <v>1079237.3156860059</v>
      </c>
      <c r="E23" s="66">
        <f>D23/Discount!B19</f>
        <v>365575.0180559791</v>
      </c>
      <c r="F23" s="65">
        <f t="shared" si="1"/>
        <v>1079237.3156860059</v>
      </c>
      <c r="G23" s="66">
        <f>F23/Discount!B19</f>
        <v>365575.0180559791</v>
      </c>
    </row>
    <row r="24" spans="1:7" s="54" customFormat="1">
      <c r="A24" s="54">
        <v>2036</v>
      </c>
      <c r="B24" s="54">
        <v>7</v>
      </c>
      <c r="C24" s="105">
        <f t="shared" si="0"/>
        <v>1995.5210975176126</v>
      </c>
      <c r="D24" s="65">
        <f t="shared" si="2"/>
        <v>1126292.0626499157</v>
      </c>
      <c r="E24" s="66">
        <f>D24/Discount!B20</f>
        <v>356555.22321796243</v>
      </c>
      <c r="F24" s="65">
        <f t="shared" si="1"/>
        <v>1126292.0626499157</v>
      </c>
      <c r="G24" s="66">
        <f>F24/Discount!B20</f>
        <v>356555.22321796243</v>
      </c>
    </row>
    <row r="25" spans="1:7" s="54" customFormat="1">
      <c r="A25" s="54">
        <v>2037</v>
      </c>
      <c r="B25" s="54">
        <v>8</v>
      </c>
      <c r="C25" s="105">
        <f t="shared" si="0"/>
        <v>2082.5258173693805</v>
      </c>
      <c r="D25" s="65">
        <f t="shared" si="2"/>
        <v>1175398.3965814521</v>
      </c>
      <c r="E25" s="66">
        <f>D25/Discount!B21</f>
        <v>347757.97285071551</v>
      </c>
      <c r="F25" s="65">
        <f t="shared" si="1"/>
        <v>1175398.3965814521</v>
      </c>
      <c r="G25" s="66">
        <f>F25/Discount!B21</f>
        <v>347757.97285071551</v>
      </c>
    </row>
    <row r="26" spans="1:7" s="54" customFormat="1">
      <c r="A26" s="54">
        <v>2038</v>
      </c>
      <c r="B26" s="54">
        <v>9</v>
      </c>
      <c r="C26" s="105">
        <f t="shared" si="0"/>
        <v>2173.3239430066856</v>
      </c>
      <c r="D26" s="65">
        <f t="shared" si="2"/>
        <v>1226645.7666724033</v>
      </c>
      <c r="E26" s="66">
        <f>D26/Discount!B22</f>
        <v>339177.77613738942</v>
      </c>
      <c r="F26" s="65">
        <f t="shared" si="1"/>
        <v>1226645.7666724033</v>
      </c>
      <c r="G26" s="66">
        <f>F26/Discount!B22</f>
        <v>339177.77613738942</v>
      </c>
    </row>
    <row r="27" spans="1:7" s="54" customFormat="1">
      <c r="A27" s="54">
        <v>2039</v>
      </c>
      <c r="B27" s="54">
        <v>10</v>
      </c>
      <c r="C27" s="105">
        <f t="shared" si="0"/>
        <v>2268.0808669217772</v>
      </c>
      <c r="D27" s="65">
        <f t="shared" si="2"/>
        <v>1280127.5220993203</v>
      </c>
      <c r="E27" s="66">
        <f>D27/Discount!B23</f>
        <v>330809.27773549501</v>
      </c>
      <c r="F27" s="65">
        <f t="shared" si="1"/>
        <v>1280127.5220993203</v>
      </c>
      <c r="G27" s="66">
        <f>F27/Discount!B23</f>
        <v>330809.27773549501</v>
      </c>
    </row>
    <row r="28" spans="1:7" s="54" customFormat="1">
      <c r="A28" s="54">
        <v>2040</v>
      </c>
      <c r="B28" s="54">
        <v>11</v>
      </c>
      <c r="C28" s="105">
        <f t="shared" si="0"/>
        <v>2366.9691927195668</v>
      </c>
      <c r="D28" s="65">
        <f t="shared" si="2"/>
        <v>1335941.0820628507</v>
      </c>
      <c r="E28" s="66">
        <f>D28/Discount!B24</f>
        <v>322647.25443435757</v>
      </c>
      <c r="F28" s="65">
        <f t="shared" si="1"/>
        <v>1335941.0820628507</v>
      </c>
      <c r="G28" s="66">
        <f>F28/Discount!B24</f>
        <v>322647.25443435757</v>
      </c>
    </row>
    <row r="29" spans="1:7" s="54" customFormat="1">
      <c r="A29" s="54">
        <v>2041</v>
      </c>
      <c r="B29" s="54">
        <v>12</v>
      </c>
      <c r="C29" s="105">
        <f t="shared" si="0"/>
        <v>2470.1690495221401</v>
      </c>
      <c r="D29" s="65">
        <f t="shared" si="2"/>
        <v>1394188.113240791</v>
      </c>
      <c r="E29" s="66">
        <f>D29/Discount!B25</f>
        <v>314686.61189504259</v>
      </c>
      <c r="F29" s="65">
        <f t="shared" si="1"/>
        <v>1394188.113240791</v>
      </c>
      <c r="G29" s="66">
        <f>F29/Discount!B25</f>
        <v>314686.61189504259</v>
      </c>
    </row>
    <row r="30" spans="1:7" s="54" customFormat="1">
      <c r="A30" s="54">
        <v>2042</v>
      </c>
      <c r="B30" s="54">
        <v>13</v>
      </c>
      <c r="C30" s="105">
        <f t="shared" si="0"/>
        <v>2577.8684200813054</v>
      </c>
      <c r="D30" s="65">
        <f t="shared" si="2"/>
        <v>1454974.7149780896</v>
      </c>
      <c r="E30" s="66">
        <f>D30/Discount!B26</f>
        <v>306922.38147071633</v>
      </c>
      <c r="F30" s="65">
        <f t="shared" si="1"/>
        <v>1454974.7149780896</v>
      </c>
      <c r="G30" s="66">
        <f>F30/Discount!B26</f>
        <v>306922.38147071633</v>
      </c>
    </row>
    <row r="31" spans="1:7" s="54" customFormat="1">
      <c r="A31" s="54">
        <v>2043</v>
      </c>
      <c r="B31" s="54">
        <v>14</v>
      </c>
      <c r="C31" s="105">
        <f t="shared" si="0"/>
        <v>2690.2634831968508</v>
      </c>
      <c r="D31" s="65">
        <f t="shared" si="2"/>
        <v>1518411.6125511345</v>
      </c>
      <c r="E31" s="66">
        <f>D31/Discount!B27</f>
        <v>299349.71710545756</v>
      </c>
      <c r="F31" s="65">
        <f t="shared" si="1"/>
        <v>1518411.6125511345</v>
      </c>
      <c r="G31" s="66">
        <f>F31/Discount!B27</f>
        <v>299349.71710545756</v>
      </c>
    </row>
    <row r="32" spans="1:7" s="54" customFormat="1">
      <c r="A32" s="54">
        <v>2044</v>
      </c>
      <c r="B32" s="54">
        <v>15</v>
      </c>
      <c r="C32" s="105">
        <f t="shared" si="0"/>
        <v>2807.5589710642334</v>
      </c>
      <c r="D32" s="65">
        <f t="shared" si="2"/>
        <v>1584614.3588583639</v>
      </c>
      <c r="E32" s="66">
        <f>D32/Discount!B28</f>
        <v>291963.89230958454</v>
      </c>
      <c r="F32" s="65">
        <f t="shared" si="1"/>
        <v>1584614.3588583639</v>
      </c>
      <c r="G32" s="66">
        <f>F32/Discount!B28</f>
        <v>291963.89230958454</v>
      </c>
    </row>
    <row r="33" spans="1:7" s="54" customFormat="1">
      <c r="A33" s="54">
        <v>2045</v>
      </c>
      <c r="B33" s="54">
        <v>16</v>
      </c>
      <c r="C33" s="105">
        <f t="shared" si="0"/>
        <v>2929.9685422026341</v>
      </c>
      <c r="D33" s="65">
        <f t="shared" si="2"/>
        <v>1653703.5449045887</v>
      </c>
      <c r="E33" s="66">
        <f>D33/Discount!B29</f>
        <v>284760.29720960982</v>
      </c>
      <c r="F33" s="65">
        <f t="shared" si="1"/>
        <v>1653703.5449045887</v>
      </c>
      <c r="G33" s="66">
        <f>F33/Discount!B29</f>
        <v>284760.29720960982</v>
      </c>
    </row>
    <row r="34" spans="1:7" s="54" customFormat="1">
      <c r="A34" s="54">
        <v>2046</v>
      </c>
      <c r="B34" s="54">
        <v>17</v>
      </c>
      <c r="C34" s="105">
        <f t="shared" si="0"/>
        <v>3057.7151706426694</v>
      </c>
      <c r="D34" s="65">
        <f t="shared" si="2"/>
        <v>1725805.019462429</v>
      </c>
      <c r="E34" s="66">
        <f>D34/Discount!B30</f>
        <v>277734.43567098014</v>
      </c>
      <c r="F34" s="65">
        <f t="shared" si="1"/>
        <v>1725805.019462429</v>
      </c>
      <c r="G34" s="66">
        <f>F34/Discount!B30</f>
        <v>277734.43567098014</v>
      </c>
    </row>
    <row r="35" spans="1:7" s="54" customFormat="1">
      <c r="A35" s="54">
        <v>2047</v>
      </c>
      <c r="B35" s="54">
        <v>18</v>
      </c>
      <c r="C35" s="105">
        <f t="shared" si="0"/>
        <v>3191.0315520826898</v>
      </c>
      <c r="D35" s="65">
        <f t="shared" si="2"/>
        <v>1801050.1183109907</v>
      </c>
      <c r="E35" s="66">
        <f>D35/Discount!B31</f>
        <v>270881.92249180831</v>
      </c>
      <c r="F35" s="65">
        <f t="shared" si="1"/>
        <v>1801050.1183109907</v>
      </c>
      <c r="G35" s="66">
        <f>F35/Discount!B31</f>
        <v>270881.92249180831</v>
      </c>
    </row>
    <row r="36" spans="1:7" s="54" customFormat="1">
      <c r="A36" s="54">
        <v>2048</v>
      </c>
      <c r="B36" s="54">
        <v>19</v>
      </c>
      <c r="C36" s="105">
        <f t="shared" si="0"/>
        <v>3330.1605277534954</v>
      </c>
      <c r="D36" s="65">
        <f t="shared" si="2"/>
        <v>1879575.9034693502</v>
      </c>
      <c r="E36" s="66">
        <f>D36/Discount!B32</f>
        <v>264198.48066584225</v>
      </c>
      <c r="F36" s="65">
        <f t="shared" si="1"/>
        <v>1879575.9034693502</v>
      </c>
      <c r="G36" s="66">
        <f>F36/Discount!B32</f>
        <v>264198.48066584225</v>
      </c>
    </row>
    <row r="37" spans="1:7" s="54" customFormat="1">
      <c r="A37" s="54">
        <v>2049</v>
      </c>
      <c r="B37" s="54">
        <v>20</v>
      </c>
      <c r="C37" s="105">
        <f t="shared" si="0"/>
        <v>3475.3555267635479</v>
      </c>
      <c r="D37" s="65">
        <f t="shared" si="2"/>
        <v>1961525.412860614</v>
      </c>
      <c r="E37" s="66">
        <f>D37/Discount!B33</f>
        <v>257679.93871296544</v>
      </c>
      <c r="F37" s="65">
        <f t="shared" si="1"/>
        <v>1961525.412860614</v>
      </c>
      <c r="G37" s="66">
        <f>F37/Discount!B33</f>
        <v>257679.93871296544</v>
      </c>
    </row>
    <row r="38" spans="1:7" s="54" customFormat="1">
      <c r="A38" s="54">
        <v>2050</v>
      </c>
      <c r="B38" s="54">
        <v>21</v>
      </c>
      <c r="C38" s="105">
        <f t="shared" si="0"/>
        <v>3626.8810277304387</v>
      </c>
      <c r="D38" s="65">
        <f t="shared" si="2"/>
        <v>2047047.9208613369</v>
      </c>
      <c r="E38" s="66">
        <f>D38/Discount!B34</f>
        <v>251322.22807556138</v>
      </c>
      <c r="F38" s="65">
        <f t="shared" si="1"/>
        <v>2047047.9208613369</v>
      </c>
      <c r="G38" s="66">
        <f>F38/Discount!B34</f>
        <v>251322.22807556138</v>
      </c>
    </row>
    <row r="39" spans="1:7" s="54" customFormat="1">
      <c r="A39" s="54">
        <v>2051</v>
      </c>
      <c r="B39" s="54">
        <v>22</v>
      </c>
      <c r="C39" s="105">
        <f t="shared" si="0"/>
        <v>3785.0130405394862</v>
      </c>
      <c r="D39" s="65">
        <f t="shared" si="2"/>
        <v>2136299.2102108914</v>
      </c>
      <c r="E39" s="66">
        <f>D39/Discount!B35</f>
        <v>245121.38057911769</v>
      </c>
      <c r="F39" s="65">
        <f t="shared" si="1"/>
        <v>2136299.2102108914</v>
      </c>
      <c r="G39" s="66">
        <f>F39/Discount!B35</f>
        <v>245121.38057911769</v>
      </c>
    </row>
    <row r="40" spans="1:7" s="54" customFormat="1">
      <c r="A40" s="54">
        <v>2052</v>
      </c>
      <c r="B40" s="54">
        <v>23</v>
      </c>
      <c r="C40" s="105">
        <f t="shared" si="0"/>
        <v>3950.0396091070079</v>
      </c>
      <c r="D40" s="65">
        <f t="shared" si="2"/>
        <v>2229441.855776086</v>
      </c>
      <c r="E40" s="66">
        <f>D40/Discount!B36</f>
        <v>239073.52595548335</v>
      </c>
      <c r="F40" s="65">
        <f t="shared" si="1"/>
        <v>2229441.855776086</v>
      </c>
      <c r="G40" s="66">
        <f>F40/Discount!B36</f>
        <v>239073.52595548335</v>
      </c>
    </row>
    <row r="41" spans="1:7" s="54" customFormat="1">
      <c r="A41" s="54">
        <v>2053</v>
      </c>
      <c r="B41" s="54">
        <v>24</v>
      </c>
      <c r="C41" s="105">
        <f t="shared" si="0"/>
        <v>4122.2613360640735</v>
      </c>
      <c r="D41" s="65">
        <f t="shared" si="2"/>
        <v>2326645.5206879238</v>
      </c>
      <c r="E41" s="66">
        <f>D41/Discount!B37</f>
        <v>233174.88942723596</v>
      </c>
      <c r="F41" s="65">
        <f t="shared" si="1"/>
        <v>2326645.5206879238</v>
      </c>
      <c r="G41" s="66">
        <f>F41/Discount!B37</f>
        <v>233174.88942723596</v>
      </c>
    </row>
    <row r="42" spans="1:7" s="54" customFormat="1">
      <c r="A42" s="54">
        <v>2054</v>
      </c>
      <c r="B42" s="54">
        <v>25</v>
      </c>
      <c r="C42" s="105">
        <f t="shared" si="0"/>
        <v>4301.991930316467</v>
      </c>
      <c r="D42" s="65">
        <f t="shared" si="2"/>
        <v>2428087.265389917</v>
      </c>
      <c r="E42" s="66">
        <f>D42/Discount!B38</f>
        <v>227421.78935164804</v>
      </c>
      <c r="F42" s="65">
        <f t="shared" si="1"/>
        <v>2428087.265389917</v>
      </c>
      <c r="G42" s="66">
        <f>F42/Discount!B38</f>
        <v>227421.78935164804</v>
      </c>
    </row>
    <row r="43" spans="1:7" s="54" customFormat="1">
      <c r="A43" s="54">
        <v>2055</v>
      </c>
      <c r="B43" s="54">
        <v>26</v>
      </c>
      <c r="C43" s="105">
        <f t="shared" si="0"/>
        <v>4489.5587784782656</v>
      </c>
      <c r="D43" s="65">
        <f t="shared" si="2"/>
        <v>2533951.8701609178</v>
      </c>
      <c r="E43" s="66">
        <f>D43/Discount!B39</f>
        <v>221810.63492278499</v>
      </c>
      <c r="F43" s="65">
        <f t="shared" si="1"/>
        <v>2533951.8701609178</v>
      </c>
      <c r="G43" s="66">
        <f>F43/Discount!B39</f>
        <v>221810.63492278499</v>
      </c>
    </row>
    <row r="44" spans="1:7" s="54" customFormat="1">
      <c r="A44" s="54">
        <v>2056</v>
      </c>
      <c r="B44" s="54">
        <v>27</v>
      </c>
      <c r="C44" s="105">
        <f t="shared" si="0"/>
        <v>4685.3035412199188</v>
      </c>
      <c r="D44" s="65">
        <f t="shared" si="2"/>
        <v>2644432.1716999342</v>
      </c>
      <c r="E44" s="66">
        <f>D44/Discount!B40</f>
        <v>216337.92393029758</v>
      </c>
      <c r="F44" s="65">
        <f t="shared" si="1"/>
        <v>2644432.1716999342</v>
      </c>
      <c r="G44" s="66">
        <f>F44/Discount!B40</f>
        <v>216337.92393029758</v>
      </c>
    </row>
    <row r="45" spans="1:7" s="54" customFormat="1">
      <c r="A45" s="54">
        <v>2057</v>
      </c>
      <c r="B45" s="54">
        <v>28</v>
      </c>
      <c r="C45" s="105">
        <f t="shared" si="0"/>
        <v>4889.5827756171075</v>
      </c>
      <c r="D45" s="65">
        <f t="shared" si="2"/>
        <v>2759729.4143860512</v>
      </c>
      <c r="E45" s="66">
        <f>D45/Discount!B41</f>
        <v>211000.24057351268</v>
      </c>
      <c r="F45" s="65">
        <f t="shared" si="1"/>
        <v>2759729.4143860512</v>
      </c>
      <c r="G45" s="66">
        <f>F45/Discount!B41</f>
        <v>211000.24057351268</v>
      </c>
    </row>
    <row r="46" spans="1:7" s="54" customFormat="1">
      <c r="A46" s="54">
        <v>2058</v>
      </c>
      <c r="B46" s="54">
        <v>29</v>
      </c>
      <c r="C46" s="105">
        <f t="shared" si="0"/>
        <v>5102.7685846340137</v>
      </c>
      <c r="D46" s="65">
        <f t="shared" si="2"/>
        <v>2880053.6168532837</v>
      </c>
      <c r="E46" s="66">
        <f>D46/Discount!B42</f>
        <v>205794.25332945597</v>
      </c>
      <c r="F46" s="65">
        <f t="shared" si="1"/>
        <v>2880053.6168532837</v>
      </c>
      <c r="G46" s="66">
        <f>F46/Discount!B42</f>
        <v>205794.25332945597</v>
      </c>
    </row>
    <row r="47" spans="1:7" s="54" customFormat="1">
      <c r="A47" s="54">
        <v>2059</v>
      </c>
      <c r="B47" s="54">
        <v>30</v>
      </c>
      <c r="C47" s="105">
        <f t="shared" si="0"/>
        <v>5325.2492949240568</v>
      </c>
      <c r="D47" s="65">
        <f t="shared" si="2"/>
        <v>3005623.9545480865</v>
      </c>
      <c r="E47" s="66">
        <f>D47/Discount!B43</f>
        <v>200716.71287347685</v>
      </c>
      <c r="F47" s="65">
        <f t="shared" si="1"/>
        <v>3005623.9545480865</v>
      </c>
      <c r="G47" s="66">
        <f>F47/Discount!B43</f>
        <v>200716.71287347685</v>
      </c>
    </row>
    <row r="48" spans="1:7" s="54" customFormat="1" ht="30" customHeight="1" thickBot="1">
      <c r="A48" s="306" t="s">
        <v>387</v>
      </c>
      <c r="B48" s="306"/>
      <c r="C48" s="217"/>
      <c r="D48" s="70">
        <f>SUM(D15:D47)</f>
        <v>51945171.205214627</v>
      </c>
      <c r="E48" s="70">
        <f>SUM(E15:E47)</f>
        <v>8853837.0054523274</v>
      </c>
      <c r="F48" s="70">
        <f>SUM(F15:F47)</f>
        <v>54348224.096913457</v>
      </c>
      <c r="G48" s="70">
        <f>SUM(G15:G47)</f>
        <v>10160417.171882588</v>
      </c>
    </row>
    <row r="49" spans="1:7" s="54" customFormat="1" ht="15.75" customHeight="1" thickTop="1">
      <c r="E49"/>
    </row>
    <row r="50" spans="1:7" s="54" customFormat="1" ht="31.5" customHeight="1">
      <c r="A50" s="379" t="s">
        <v>683</v>
      </c>
      <c r="B50" s="379"/>
      <c r="C50" s="379"/>
      <c r="D50" s="379"/>
      <c r="E50" s="379"/>
      <c r="F50"/>
      <c r="G50"/>
    </row>
    <row r="51" spans="1:7" s="54" customFormat="1">
      <c r="A51" s="75" t="s">
        <v>678</v>
      </c>
      <c r="B51" s="23">
        <v>966</v>
      </c>
      <c r="C51" s="378" t="s">
        <v>682</v>
      </c>
      <c r="D51" s="358"/>
      <c r="E51" s="358"/>
    </row>
    <row r="52" spans="1:7" s="54" customFormat="1" ht="14.45" customHeight="1">
      <c r="A52" s="75" t="s">
        <v>679</v>
      </c>
      <c r="B52" s="25">
        <v>4.36E-2</v>
      </c>
      <c r="C52" s="378" t="s">
        <v>682</v>
      </c>
      <c r="D52" s="358"/>
      <c r="E52" s="358"/>
    </row>
    <row r="53" spans="1:7" s="54" customFormat="1" ht="28.9" customHeight="1">
      <c r="A53" s="75" t="s">
        <v>680</v>
      </c>
      <c r="B53" s="123">
        <v>564.41</v>
      </c>
      <c r="C53" s="350" t="s">
        <v>681</v>
      </c>
      <c r="D53" s="350"/>
      <c r="E53" s="350"/>
    </row>
  </sheetData>
  <mergeCells count="9">
    <mergeCell ref="A1:E1"/>
    <mergeCell ref="A2:E2"/>
    <mergeCell ref="A3:E3"/>
    <mergeCell ref="A4:E4"/>
    <mergeCell ref="C53:E53"/>
    <mergeCell ref="C51:E51"/>
    <mergeCell ref="C52:E52"/>
    <mergeCell ref="A50:E50"/>
    <mergeCell ref="A48:B48"/>
  </mergeCells>
  <hyperlinks>
    <hyperlink ref="C52" r:id="rId1" xr:uid="{040454A2-2514-41A4-B7B4-01D3BB145AE3}"/>
    <hyperlink ref="C51" r:id="rId2" xr:uid="{64CB5029-FDCE-4E69-A812-8CCFE4C9A3F4}"/>
  </hyperlinks>
  <pageMargins left="0.7" right="0.7" top="0.75" bottom="0.75" header="0.3" footer="0.3"/>
  <pageSetup orientation="portrait" horizontalDpi="1200" verticalDpi="1200"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CB49D-7E45-4754-8BE3-72B0B4AD1D22}">
  <dimension ref="A1:B43"/>
  <sheetViews>
    <sheetView zoomScaleNormal="100" workbookViewId="0">
      <selection activeCell="A43" sqref="A43"/>
    </sheetView>
  </sheetViews>
  <sheetFormatPr defaultRowHeight="15"/>
  <sheetData>
    <row r="1" spans="1:2" ht="15.75" thickBot="1">
      <c r="A1" s="280" t="s">
        <v>0</v>
      </c>
      <c r="B1" s="280"/>
    </row>
    <row r="2" spans="1:2">
      <c r="A2" s="1"/>
      <c r="B2" s="2">
        <v>7.0000000000000007E-2</v>
      </c>
    </row>
    <row r="3" spans="1:2">
      <c r="A3" s="1">
        <v>2019</v>
      </c>
      <c r="B3" s="3">
        <f>1.07^0</f>
        <v>1</v>
      </c>
    </row>
    <row r="4" spans="1:2">
      <c r="A4" s="1">
        <v>2020</v>
      </c>
      <c r="B4" s="3">
        <f>1.07^1</f>
        <v>1.07</v>
      </c>
    </row>
    <row r="5" spans="1:2">
      <c r="A5" s="1">
        <v>2021</v>
      </c>
      <c r="B5" s="3">
        <f>1.07^2</f>
        <v>1.1449</v>
      </c>
    </row>
    <row r="6" spans="1:2">
      <c r="A6" s="4">
        <f t="shared" ref="A6:A43" si="0">A5+1</f>
        <v>2022</v>
      </c>
      <c r="B6" s="5">
        <f>1.07^3</f>
        <v>1.2250430000000001</v>
      </c>
    </row>
    <row r="7" spans="1:2">
      <c r="A7" s="4">
        <f t="shared" si="0"/>
        <v>2023</v>
      </c>
      <c r="B7" s="5">
        <f>1.07^4</f>
        <v>1.31079601</v>
      </c>
    </row>
    <row r="8" spans="1:2">
      <c r="A8" s="4">
        <f t="shared" si="0"/>
        <v>2024</v>
      </c>
      <c r="B8" s="5">
        <f>1.07^5</f>
        <v>1.4025517307000002</v>
      </c>
    </row>
    <row r="9" spans="1:2">
      <c r="A9" s="155">
        <f t="shared" si="0"/>
        <v>2025</v>
      </c>
      <c r="B9" s="156">
        <f>1.07^6</f>
        <v>1.5007303518490001</v>
      </c>
    </row>
    <row r="10" spans="1:2">
      <c r="A10" s="155">
        <f t="shared" si="0"/>
        <v>2026</v>
      </c>
      <c r="B10" s="156">
        <f>1.07^7</f>
        <v>1.6057814764784302</v>
      </c>
    </row>
    <row r="11" spans="1:2">
      <c r="A11" s="155">
        <f t="shared" si="0"/>
        <v>2027</v>
      </c>
      <c r="B11" s="156">
        <f>1.07^8</f>
        <v>1.7181861798319202</v>
      </c>
    </row>
    <row r="12" spans="1:2">
      <c r="A12" s="155">
        <f t="shared" si="0"/>
        <v>2028</v>
      </c>
      <c r="B12" s="156">
        <f>1.07^9</f>
        <v>1.8384592124201549</v>
      </c>
    </row>
    <row r="13" spans="1:2">
      <c r="A13" s="155">
        <f t="shared" si="0"/>
        <v>2029</v>
      </c>
      <c r="B13" s="156">
        <f>1.07^10</f>
        <v>1.9671513572895656</v>
      </c>
    </row>
    <row r="14" spans="1:2">
      <c r="A14" s="7">
        <f t="shared" si="0"/>
        <v>2030</v>
      </c>
      <c r="B14" s="8">
        <f>1.07^11</f>
        <v>2.1048519522998355</v>
      </c>
    </row>
    <row r="15" spans="1:2">
      <c r="A15" s="7">
        <f t="shared" si="0"/>
        <v>2031</v>
      </c>
      <c r="B15" s="8">
        <f>1.07^12</f>
        <v>2.2521915889608235</v>
      </c>
    </row>
    <row r="16" spans="1:2">
      <c r="A16" s="7">
        <f t="shared" si="0"/>
        <v>2032</v>
      </c>
      <c r="B16" s="8">
        <f>1.07^13</f>
        <v>2.4098450001880813</v>
      </c>
    </row>
    <row r="17" spans="1:2">
      <c r="A17" s="7">
        <f t="shared" si="0"/>
        <v>2033</v>
      </c>
      <c r="B17" s="8">
        <f>1.07^14</f>
        <v>2.5785341502012469</v>
      </c>
    </row>
    <row r="18" spans="1:2">
      <c r="A18" s="7">
        <f t="shared" si="0"/>
        <v>2034</v>
      </c>
      <c r="B18" s="8">
        <f>1.07^15</f>
        <v>2.7590315407153345</v>
      </c>
    </row>
    <row r="19" spans="1:2">
      <c r="A19" s="7">
        <f t="shared" si="0"/>
        <v>2035</v>
      </c>
      <c r="B19" s="8">
        <f>1.07^16</f>
        <v>2.9521637485654075</v>
      </c>
    </row>
    <row r="20" spans="1:2">
      <c r="A20" s="7">
        <f>A19+1</f>
        <v>2036</v>
      </c>
      <c r="B20" s="8">
        <f>1.07^17</f>
        <v>3.1588152109649861</v>
      </c>
    </row>
    <row r="21" spans="1:2">
      <c r="A21" s="7">
        <f t="shared" si="0"/>
        <v>2037</v>
      </c>
      <c r="B21" s="8">
        <f>1.07^18</f>
        <v>3.3799322757325352</v>
      </c>
    </row>
    <row r="22" spans="1:2">
      <c r="A22" s="7">
        <f t="shared" si="0"/>
        <v>2038</v>
      </c>
      <c r="B22" s="8">
        <f>1.07^19</f>
        <v>3.6165275350338129</v>
      </c>
    </row>
    <row r="23" spans="1:2">
      <c r="A23" s="7">
        <f t="shared" si="0"/>
        <v>2039</v>
      </c>
      <c r="B23" s="8">
        <f>1.07^20</f>
        <v>3.8696844624861795</v>
      </c>
    </row>
    <row r="24" spans="1:2">
      <c r="A24" s="7">
        <f t="shared" si="0"/>
        <v>2040</v>
      </c>
      <c r="B24" s="8">
        <f>1.07^21</f>
        <v>4.1405623748602123</v>
      </c>
    </row>
    <row r="25" spans="1:2">
      <c r="A25" s="7">
        <f t="shared" si="0"/>
        <v>2041</v>
      </c>
      <c r="B25" s="8">
        <f>1.07^22</f>
        <v>4.4304017411004271</v>
      </c>
    </row>
    <row r="26" spans="1:2">
      <c r="A26" s="7">
        <f t="shared" si="0"/>
        <v>2042</v>
      </c>
      <c r="B26" s="8">
        <f>1.07^23</f>
        <v>4.740529862977457</v>
      </c>
    </row>
    <row r="27" spans="1:2">
      <c r="A27" s="7">
        <f t="shared" si="0"/>
        <v>2043</v>
      </c>
      <c r="B27" s="8">
        <f>1.07^24</f>
        <v>5.0723669533858793</v>
      </c>
    </row>
    <row r="28" spans="1:2">
      <c r="A28" s="7">
        <f t="shared" si="0"/>
        <v>2044</v>
      </c>
      <c r="B28" s="8">
        <f>1.07^25</f>
        <v>5.4274326401228912</v>
      </c>
    </row>
    <row r="29" spans="1:2">
      <c r="A29" s="7">
        <f t="shared" si="0"/>
        <v>2045</v>
      </c>
      <c r="B29" s="8">
        <f>1.07^26</f>
        <v>5.807352924931493</v>
      </c>
    </row>
    <row r="30" spans="1:2">
      <c r="A30" s="7">
        <f t="shared" si="0"/>
        <v>2046</v>
      </c>
      <c r="B30" s="8">
        <f>1.07^27</f>
        <v>6.2138676296766988</v>
      </c>
    </row>
    <row r="31" spans="1:2">
      <c r="A31" s="7">
        <f t="shared" si="0"/>
        <v>2047</v>
      </c>
      <c r="B31" s="8">
        <f>1.07^28</f>
        <v>6.6488383637540664</v>
      </c>
    </row>
    <row r="32" spans="1:2">
      <c r="A32" s="7">
        <f t="shared" si="0"/>
        <v>2048</v>
      </c>
      <c r="B32" s="8">
        <f>1.07^29</f>
        <v>7.1142570492168513</v>
      </c>
    </row>
    <row r="33" spans="1:2">
      <c r="A33" s="7">
        <f t="shared" si="0"/>
        <v>2049</v>
      </c>
      <c r="B33" s="8">
        <f>1.07^30</f>
        <v>7.6122550426620306</v>
      </c>
    </row>
    <row r="34" spans="1:2">
      <c r="A34" s="7">
        <f t="shared" si="0"/>
        <v>2050</v>
      </c>
      <c r="B34" s="8">
        <f>1.07^31</f>
        <v>8.1451128956483743</v>
      </c>
    </row>
    <row r="35" spans="1:2">
      <c r="A35" s="7">
        <f t="shared" si="0"/>
        <v>2051</v>
      </c>
      <c r="B35" s="8">
        <f>1.07^32</f>
        <v>8.7152707983437594</v>
      </c>
    </row>
    <row r="36" spans="1:2">
      <c r="A36" s="7">
        <f t="shared" si="0"/>
        <v>2052</v>
      </c>
      <c r="B36" s="8">
        <f>1.07^33</f>
        <v>9.3253397542278229</v>
      </c>
    </row>
    <row r="37" spans="1:2">
      <c r="A37" s="7">
        <f t="shared" si="0"/>
        <v>2053</v>
      </c>
      <c r="B37" s="8">
        <f>1.07^34</f>
        <v>9.9781135370237699</v>
      </c>
    </row>
    <row r="38" spans="1:2">
      <c r="A38" s="7">
        <f t="shared" si="0"/>
        <v>2054</v>
      </c>
      <c r="B38" s="8">
        <f>1.07^35</f>
        <v>10.676581484615435</v>
      </c>
    </row>
    <row r="39" spans="1:2">
      <c r="A39" s="7">
        <f t="shared" si="0"/>
        <v>2055</v>
      </c>
      <c r="B39" s="8">
        <f>1.07^36</f>
        <v>11.423942188538515</v>
      </c>
    </row>
    <row r="40" spans="1:2">
      <c r="A40" s="7">
        <f t="shared" si="0"/>
        <v>2056</v>
      </c>
      <c r="B40" s="8">
        <f>1.07^37</f>
        <v>12.223618141736212</v>
      </c>
    </row>
    <row r="41" spans="1:2">
      <c r="A41" s="7">
        <f t="shared" si="0"/>
        <v>2057</v>
      </c>
      <c r="B41" s="8">
        <f>1.07^38</f>
        <v>13.079271411657746</v>
      </c>
    </row>
    <row r="42" spans="1:2">
      <c r="A42" s="7">
        <f t="shared" si="0"/>
        <v>2058</v>
      </c>
      <c r="B42" s="8">
        <f>1.07^39</f>
        <v>13.994820410473789</v>
      </c>
    </row>
    <row r="43" spans="1:2">
      <c r="A43" s="7">
        <f t="shared" si="0"/>
        <v>2059</v>
      </c>
      <c r="B43" s="8">
        <f>1.07^40</f>
        <v>14.974457839206954</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37840-9AC8-41F7-A693-1703CE4CDF34}">
  <dimension ref="A1:G19"/>
  <sheetViews>
    <sheetView showGridLines="0" topLeftCell="A7" zoomScale="115" zoomScaleNormal="115" workbookViewId="0">
      <selection activeCell="G16" sqref="G16"/>
    </sheetView>
  </sheetViews>
  <sheetFormatPr defaultRowHeight="15"/>
  <cols>
    <col min="1" max="3" width="25.7109375" customWidth="1"/>
    <col min="4" max="5" width="19" customWidth="1"/>
    <col min="6" max="6" width="15.85546875" bestFit="1" customWidth="1"/>
  </cols>
  <sheetData>
    <row r="1" spans="1:7" ht="23.25">
      <c r="A1" s="262" t="s">
        <v>10</v>
      </c>
      <c r="B1" s="262"/>
      <c r="C1" s="262"/>
      <c r="D1" s="262"/>
      <c r="E1" s="262"/>
      <c r="F1" s="262"/>
    </row>
    <row r="2" spans="1:7" ht="20.25" thickBot="1">
      <c r="A2" s="263" t="s">
        <v>9</v>
      </c>
      <c r="B2" s="263"/>
      <c r="C2" s="263"/>
      <c r="D2" s="263"/>
      <c r="E2" s="263"/>
      <c r="F2" s="263"/>
    </row>
    <row r="3" spans="1:7" ht="21" thickTop="1" thickBot="1">
      <c r="A3" s="268" t="s">
        <v>1</v>
      </c>
      <c r="B3" s="268"/>
      <c r="C3" s="268"/>
      <c r="D3" s="268"/>
      <c r="E3" s="268"/>
      <c r="F3" s="268"/>
    </row>
    <row r="4" spans="1:7" ht="15.75" thickTop="1">
      <c r="A4" s="269" t="s">
        <v>2</v>
      </c>
      <c r="B4" s="269"/>
      <c r="C4" s="269"/>
      <c r="D4" s="269"/>
      <c r="E4" s="269"/>
      <c r="F4" s="269"/>
    </row>
    <row r="5" spans="1:7" ht="30.75" thickBot="1">
      <c r="A5" s="33" t="s">
        <v>11</v>
      </c>
      <c r="B5" s="33" t="s">
        <v>12</v>
      </c>
      <c r="C5" s="33" t="s">
        <v>13</v>
      </c>
      <c r="D5" s="34" t="s">
        <v>539</v>
      </c>
      <c r="E5" s="34" t="s">
        <v>14</v>
      </c>
      <c r="F5" s="34" t="s">
        <v>705</v>
      </c>
    </row>
    <row r="6" spans="1:7" ht="75.400000000000006" customHeight="1">
      <c r="A6" s="272" t="s">
        <v>17</v>
      </c>
      <c r="B6" s="39" t="s">
        <v>24</v>
      </c>
      <c r="C6" s="220" t="s">
        <v>622</v>
      </c>
      <c r="D6" s="40">
        <f>'Crash Reduction Savings'!R62</f>
        <v>22535625593.010754</v>
      </c>
      <c r="E6" s="244">
        <f>'Crash Reduction Savings'!S62</f>
        <v>7600104511.0267467</v>
      </c>
      <c r="F6" s="267">
        <f>(E6+E7+E8)/$E$16</f>
        <v>292.03793460735608</v>
      </c>
      <c r="G6" s="267">
        <f>F6</f>
        <v>292.03793460735608</v>
      </c>
    </row>
    <row r="7" spans="1:7" ht="37.15" customHeight="1">
      <c r="A7" s="274"/>
      <c r="B7" s="169" t="s">
        <v>537</v>
      </c>
      <c r="C7" s="214" t="s">
        <v>593</v>
      </c>
      <c r="D7" s="215">
        <f>'Crash Reduction Savings'!G129</f>
        <v>9107015.3790000007</v>
      </c>
      <c r="E7" s="245">
        <f>'Crash Reduction Savings'!H129</f>
        <v>608169.95692194672</v>
      </c>
      <c r="F7" s="267"/>
      <c r="G7" s="267"/>
    </row>
    <row r="8" spans="1:7" ht="66.95" customHeight="1" thickBot="1">
      <c r="A8" s="273"/>
      <c r="B8" s="41" t="s">
        <v>308</v>
      </c>
      <c r="C8" s="41" t="s">
        <v>620</v>
      </c>
      <c r="D8" s="42">
        <f>'EMS Response Savings'!C48</f>
        <v>14623139.754627101</v>
      </c>
      <c r="E8" s="246">
        <f>'EMS Response Savings'!D48</f>
        <v>3074820.9040940697</v>
      </c>
      <c r="F8" s="267"/>
      <c r="G8" s="267"/>
    </row>
    <row r="9" spans="1:7" ht="89.65" customHeight="1" thickBot="1">
      <c r="A9" s="272" t="s">
        <v>18</v>
      </c>
      <c r="B9" s="45" t="s">
        <v>482</v>
      </c>
      <c r="C9" s="44" t="s">
        <v>483</v>
      </c>
      <c r="D9" s="167">
        <f>'State of Good Repair'!C48</f>
        <v>6631216.2162162131</v>
      </c>
      <c r="E9" s="168">
        <f>'State of Good Repair'!D48</f>
        <v>2642952.9285911573</v>
      </c>
      <c r="F9" s="267">
        <f>(E9+E10+E11)/$E$16</f>
        <v>0.32394766048231693</v>
      </c>
      <c r="G9" s="265">
        <f>F9+F12+F14+F15</f>
        <v>0.91911328458158903</v>
      </c>
    </row>
    <row r="10" spans="1:7" ht="52.9" customHeight="1" thickBot="1">
      <c r="A10" s="274"/>
      <c r="B10" s="45" t="s">
        <v>500</v>
      </c>
      <c r="C10" s="44" t="s">
        <v>540</v>
      </c>
      <c r="D10" s="167">
        <f>'State of Good Repair'!E48</f>
        <v>6739999.9979999997</v>
      </c>
      <c r="E10" s="168">
        <f>'State of Good Repair'!F48</f>
        <v>4003131.2745846594</v>
      </c>
      <c r="F10" s="267"/>
      <c r="G10" s="266"/>
    </row>
    <row r="11" spans="1:7" ht="40.9" customHeight="1" thickBot="1">
      <c r="A11" s="273"/>
      <c r="B11" s="45" t="s">
        <v>280</v>
      </c>
      <c r="C11" s="36" t="s">
        <v>451</v>
      </c>
      <c r="D11" s="46">
        <f>'Initial Cost'!D149</f>
        <v>26782362.5</v>
      </c>
      <c r="E11" s="47">
        <f>'Initial Cost'!E149</f>
        <v>1788536.3722402649</v>
      </c>
      <c r="F11" s="267"/>
      <c r="G11" s="266"/>
    </row>
    <row r="12" spans="1:7" ht="41.1" customHeight="1" thickBot="1">
      <c r="A12" s="272" t="s">
        <v>15</v>
      </c>
      <c r="B12" s="35" t="s">
        <v>16</v>
      </c>
      <c r="C12" s="36" t="s">
        <v>309</v>
      </c>
      <c r="D12" s="37">
        <f>'Travel Time Savings'!G56</f>
        <v>20730658.756714754</v>
      </c>
      <c r="E12" s="38">
        <f>'Travel Time Savings'!H56</f>
        <v>3992024.2030338747</v>
      </c>
      <c r="F12" s="270">
        <f>(E12+E13)/$E$16</f>
        <v>0.25232301066769675</v>
      </c>
      <c r="G12" s="266"/>
    </row>
    <row r="13" spans="1:7" ht="54.6" customHeight="1" thickBot="1">
      <c r="A13" s="273"/>
      <c r="B13" s="231" t="s">
        <v>635</v>
      </c>
      <c r="C13" s="232" t="s">
        <v>636</v>
      </c>
      <c r="D13" s="233">
        <f>'Tourism Economic Growth'!D56</f>
        <v>7990674.879233473</v>
      </c>
      <c r="E13" s="234">
        <f>'Tourism Economic Growth'!E56</f>
        <v>2577706.3956066398</v>
      </c>
      <c r="F13" s="271"/>
      <c r="G13" s="266"/>
    </row>
    <row r="14" spans="1:7" ht="90.75" thickBot="1">
      <c r="A14" s="43" t="s">
        <v>706</v>
      </c>
      <c r="B14" s="35" t="s">
        <v>366</v>
      </c>
      <c r="C14" s="44" t="s">
        <v>675</v>
      </c>
      <c r="D14" s="37">
        <f>'Environmental Savings'!G48</f>
        <v>344488.03377589287</v>
      </c>
      <c r="E14" s="38">
        <f>'Environmental Savings'!H48</f>
        <v>72751.188066163799</v>
      </c>
      <c r="F14" s="247">
        <f>(E14)/$E$16</f>
        <v>2.794147876673187E-3</v>
      </c>
      <c r="G14" s="266"/>
    </row>
    <row r="15" spans="1:7" ht="30.75" thickBot="1">
      <c r="A15" s="43" t="s">
        <v>538</v>
      </c>
      <c r="B15" s="248" t="s">
        <v>685</v>
      </c>
      <c r="C15" s="44" t="s">
        <v>686</v>
      </c>
      <c r="D15" s="249">
        <f>'Pathway Health Savings'!D48</f>
        <v>51945171.205214627</v>
      </c>
      <c r="E15" s="167">
        <f>'Pathway Health Savings'!E48</f>
        <v>8853837.0054523274</v>
      </c>
      <c r="F15" s="250">
        <f>(E15)/$E$16</f>
        <v>0.34004846555490215</v>
      </c>
      <c r="G15" s="266"/>
    </row>
    <row r="16" spans="1:7">
      <c r="A16" s="48" t="s">
        <v>19</v>
      </c>
      <c r="B16" s="48"/>
      <c r="C16" s="48"/>
      <c r="D16" s="49">
        <f>'Initial Cost'!F137</f>
        <v>54804000.000000007</v>
      </c>
      <c r="E16" s="170">
        <f>D16/Discount!B14</f>
        <v>26036985.613225304</v>
      </c>
    </row>
    <row r="17" spans="1:5">
      <c r="A17" s="50" t="s">
        <v>20</v>
      </c>
      <c r="B17" s="50"/>
      <c r="C17" s="50"/>
      <c r="D17" s="51">
        <f>SUM(D6:D15)</f>
        <v>22680520319.73354</v>
      </c>
      <c r="E17" s="51">
        <f>SUM(E6:E15)</f>
        <v>7627718441.2553368</v>
      </c>
    </row>
    <row r="18" spans="1:5">
      <c r="A18" s="50" t="s">
        <v>21</v>
      </c>
      <c r="B18" s="50"/>
      <c r="C18" s="50"/>
      <c r="D18" s="52">
        <f>D17-D16</f>
        <v>22625716319.73354</v>
      </c>
      <c r="E18" s="53">
        <f>E17-E16</f>
        <v>7601681455.6421118</v>
      </c>
    </row>
    <row r="19" spans="1:5">
      <c r="A19" s="26" t="s">
        <v>22</v>
      </c>
      <c r="B19" s="26"/>
      <c r="C19" s="26"/>
      <c r="D19" s="27">
        <f>D17/D16</f>
        <v>413.84790014841138</v>
      </c>
      <c r="E19" s="27">
        <f>E17/E16</f>
        <v>292.95704789193763</v>
      </c>
    </row>
  </sheetData>
  <mergeCells count="12">
    <mergeCell ref="G9:G15"/>
    <mergeCell ref="G6:G8"/>
    <mergeCell ref="A1:F1"/>
    <mergeCell ref="A2:F2"/>
    <mergeCell ref="A3:F3"/>
    <mergeCell ref="A4:F4"/>
    <mergeCell ref="F6:F8"/>
    <mergeCell ref="F9:F11"/>
    <mergeCell ref="F12:F13"/>
    <mergeCell ref="A12:A13"/>
    <mergeCell ref="A9:A11"/>
    <mergeCell ref="A6:A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E4072-5F93-4E16-A321-525676D42BCB}">
  <dimension ref="A1:I79"/>
  <sheetViews>
    <sheetView zoomScaleNormal="100" workbookViewId="0">
      <selection activeCell="E26" sqref="E26"/>
    </sheetView>
  </sheetViews>
  <sheetFormatPr defaultRowHeight="15"/>
  <cols>
    <col min="1" max="1" width="10" customWidth="1"/>
    <col min="2" max="2" width="48.42578125" style="152" customWidth="1"/>
    <col min="3" max="3" width="10" customWidth="1"/>
    <col min="4" max="4" width="12" bestFit="1" customWidth="1"/>
    <col min="5" max="5" width="17.7109375" customWidth="1"/>
    <col min="6" max="6" width="15.28515625" bestFit="1" customWidth="1"/>
    <col min="8" max="9" width="13.28515625" bestFit="1" customWidth="1"/>
  </cols>
  <sheetData>
    <row r="1" spans="1:6" ht="23.25">
      <c r="A1" s="262" t="s">
        <v>10</v>
      </c>
      <c r="B1" s="262"/>
      <c r="C1" s="262"/>
      <c r="D1" s="262"/>
      <c r="E1" s="262"/>
      <c r="F1" s="262"/>
    </row>
    <row r="2" spans="1:6" ht="20.25" thickBot="1">
      <c r="A2" s="263" t="s">
        <v>9</v>
      </c>
      <c r="B2" s="263"/>
      <c r="C2" s="263"/>
      <c r="D2" s="263"/>
      <c r="E2" s="263"/>
      <c r="F2" s="263"/>
    </row>
    <row r="3" spans="1:6" ht="21" thickTop="1" thickBot="1">
      <c r="A3" s="263" t="s">
        <v>454</v>
      </c>
      <c r="B3" s="263"/>
      <c r="C3" s="263"/>
      <c r="D3" s="263"/>
      <c r="E3" s="263"/>
      <c r="F3" s="263"/>
    </row>
    <row r="4" spans="1:6" ht="16.5" thickTop="1" thickBot="1">
      <c r="A4" s="285" t="s">
        <v>455</v>
      </c>
      <c r="B4" s="285"/>
      <c r="C4" s="285"/>
      <c r="D4" s="285"/>
      <c r="E4" s="285"/>
      <c r="F4" s="285"/>
    </row>
    <row r="6" spans="1:6" s="54" customFormat="1">
      <c r="A6" s="284" t="s">
        <v>710</v>
      </c>
      <c r="B6" s="284"/>
      <c r="C6" s="284"/>
      <c r="D6" s="284"/>
      <c r="E6" s="284"/>
      <c r="F6" s="284"/>
    </row>
    <row r="7" spans="1:6" s="54" customFormat="1" ht="15.75" thickBot="1">
      <c r="A7" s="285" t="s">
        <v>456</v>
      </c>
      <c r="B7" s="285"/>
      <c r="C7" s="285"/>
      <c r="D7" s="285"/>
      <c r="E7" s="285"/>
      <c r="F7" s="285"/>
    </row>
    <row r="8" spans="1:6" s="54" customFormat="1" ht="14.45" customHeight="1">
      <c r="A8" s="286" t="s">
        <v>153</v>
      </c>
      <c r="B8" s="287" t="s">
        <v>154</v>
      </c>
      <c r="C8" s="288" t="s">
        <v>155</v>
      </c>
      <c r="D8" s="289" t="s">
        <v>156</v>
      </c>
      <c r="E8" s="290" t="s">
        <v>432</v>
      </c>
      <c r="F8" s="292" t="s">
        <v>152</v>
      </c>
    </row>
    <row r="9" spans="1:6" s="54" customFormat="1">
      <c r="A9" s="286"/>
      <c r="B9" s="287"/>
      <c r="C9" s="288"/>
      <c r="D9" s="289"/>
      <c r="E9" s="291"/>
      <c r="F9" s="293"/>
    </row>
    <row r="10" spans="1:6" s="54" customFormat="1">
      <c r="A10" s="141" t="s">
        <v>169</v>
      </c>
      <c r="B10" s="142" t="s">
        <v>59</v>
      </c>
      <c r="C10" s="9">
        <v>1</v>
      </c>
      <c r="D10" s="10" t="s">
        <v>60</v>
      </c>
      <c r="E10" s="143">
        <v>30000</v>
      </c>
      <c r="F10" s="143">
        <f t="shared" ref="F10:F30" si="0">E10*C10</f>
        <v>30000</v>
      </c>
    </row>
    <row r="11" spans="1:6" s="54" customFormat="1">
      <c r="A11" s="141" t="s">
        <v>170</v>
      </c>
      <c r="B11" s="142" t="s">
        <v>61</v>
      </c>
      <c r="C11" s="9">
        <v>1</v>
      </c>
      <c r="D11" s="10" t="s">
        <v>60</v>
      </c>
      <c r="E11" s="143">
        <v>440000</v>
      </c>
      <c r="F11" s="143">
        <f t="shared" si="0"/>
        <v>440000</v>
      </c>
    </row>
    <row r="12" spans="1:6" s="54" customFormat="1">
      <c r="A12" s="11" t="s">
        <v>62</v>
      </c>
      <c r="B12" s="11" t="s">
        <v>63</v>
      </c>
      <c r="C12" s="9">
        <v>1</v>
      </c>
      <c r="D12" s="10" t="s">
        <v>60</v>
      </c>
      <c r="E12" s="143">
        <v>30000</v>
      </c>
      <c r="F12" s="143">
        <f t="shared" si="0"/>
        <v>30000</v>
      </c>
    </row>
    <row r="13" spans="1:6" s="54" customFormat="1">
      <c r="A13" s="11" t="s">
        <v>106</v>
      </c>
      <c r="B13" s="11" t="s">
        <v>107</v>
      </c>
      <c r="C13" s="9">
        <v>5000</v>
      </c>
      <c r="D13" s="10" t="s">
        <v>101</v>
      </c>
      <c r="E13" s="143">
        <v>8</v>
      </c>
      <c r="F13" s="143">
        <f t="shared" si="0"/>
        <v>40000</v>
      </c>
    </row>
    <row r="14" spans="1:6" s="54" customFormat="1">
      <c r="A14" s="141" t="s">
        <v>108</v>
      </c>
      <c r="B14" s="144" t="s">
        <v>109</v>
      </c>
      <c r="C14" s="9">
        <v>38000</v>
      </c>
      <c r="D14" s="10" t="s">
        <v>101</v>
      </c>
      <c r="E14" s="143">
        <v>80</v>
      </c>
      <c r="F14" s="143">
        <f t="shared" si="0"/>
        <v>3040000</v>
      </c>
    </row>
    <row r="15" spans="1:6" s="54" customFormat="1">
      <c r="A15" s="141" t="s">
        <v>457</v>
      </c>
      <c r="B15" s="144" t="s">
        <v>458</v>
      </c>
      <c r="C15" s="9">
        <v>2500</v>
      </c>
      <c r="D15" s="10" t="s">
        <v>101</v>
      </c>
      <c r="E15" s="143">
        <v>115</v>
      </c>
      <c r="F15" s="143">
        <f t="shared" si="0"/>
        <v>287500</v>
      </c>
    </row>
    <row r="16" spans="1:6" s="54" customFormat="1">
      <c r="A16" s="141" t="s">
        <v>459</v>
      </c>
      <c r="B16" s="144" t="s">
        <v>460</v>
      </c>
      <c r="C16" s="12">
        <v>19.7</v>
      </c>
      <c r="D16" s="10" t="s">
        <v>112</v>
      </c>
      <c r="E16" s="147">
        <v>1200</v>
      </c>
      <c r="F16" s="143">
        <f t="shared" si="0"/>
        <v>23640</v>
      </c>
    </row>
    <row r="17" spans="1:6" s="54" customFormat="1">
      <c r="A17" s="141" t="s">
        <v>433</v>
      </c>
      <c r="B17" s="144" t="s">
        <v>434</v>
      </c>
      <c r="C17" s="9">
        <v>277400</v>
      </c>
      <c r="D17" s="13" t="s">
        <v>82</v>
      </c>
      <c r="E17" s="147">
        <v>1.1499999999999999</v>
      </c>
      <c r="F17" s="143">
        <f t="shared" si="0"/>
        <v>319010</v>
      </c>
    </row>
    <row r="18" spans="1:6" s="54" customFormat="1">
      <c r="A18" s="141" t="s">
        <v>207</v>
      </c>
      <c r="B18" s="144" t="s">
        <v>208</v>
      </c>
      <c r="C18" s="9">
        <v>650</v>
      </c>
      <c r="D18" s="10" t="s">
        <v>69</v>
      </c>
      <c r="E18" s="147">
        <v>16.3</v>
      </c>
      <c r="F18" s="143">
        <f t="shared" si="0"/>
        <v>10595</v>
      </c>
    </row>
    <row r="19" spans="1:6" s="54" customFormat="1">
      <c r="A19" s="141" t="s">
        <v>210</v>
      </c>
      <c r="B19" s="144" t="s">
        <v>211</v>
      </c>
      <c r="C19" s="9">
        <v>270</v>
      </c>
      <c r="D19" s="10" t="s">
        <v>69</v>
      </c>
      <c r="E19" s="143">
        <v>16.5</v>
      </c>
      <c r="F19" s="143">
        <f t="shared" si="0"/>
        <v>4455</v>
      </c>
    </row>
    <row r="20" spans="1:6" s="54" customFormat="1">
      <c r="A20" s="141" t="s">
        <v>216</v>
      </c>
      <c r="B20" s="144" t="s">
        <v>217</v>
      </c>
      <c r="C20" s="9">
        <v>2300</v>
      </c>
      <c r="D20" s="10" t="s">
        <v>218</v>
      </c>
      <c r="E20" s="147">
        <v>24</v>
      </c>
      <c r="F20" s="143">
        <f t="shared" si="0"/>
        <v>55200</v>
      </c>
    </row>
    <row r="21" spans="1:6" s="54" customFormat="1">
      <c r="A21" s="141" t="s">
        <v>219</v>
      </c>
      <c r="B21" s="144" t="s">
        <v>220</v>
      </c>
      <c r="C21" s="9">
        <v>500</v>
      </c>
      <c r="D21" s="10" t="s">
        <v>218</v>
      </c>
      <c r="E21" s="147">
        <v>40</v>
      </c>
      <c r="F21" s="143">
        <f t="shared" si="0"/>
        <v>20000</v>
      </c>
    </row>
    <row r="22" spans="1:6" s="54" customFormat="1">
      <c r="A22" s="141" t="s">
        <v>221</v>
      </c>
      <c r="B22" s="144" t="s">
        <v>222</v>
      </c>
      <c r="C22" s="148">
        <v>1300</v>
      </c>
      <c r="D22" s="10" t="s">
        <v>200</v>
      </c>
      <c r="E22" s="147">
        <v>4.7</v>
      </c>
      <c r="F22" s="143">
        <f t="shared" si="0"/>
        <v>6110</v>
      </c>
    </row>
    <row r="23" spans="1:6" s="54" customFormat="1">
      <c r="A23" s="141" t="s">
        <v>223</v>
      </c>
      <c r="B23" s="144" t="s">
        <v>224</v>
      </c>
      <c r="C23" s="9">
        <v>1</v>
      </c>
      <c r="D23" s="10" t="s">
        <v>60</v>
      </c>
      <c r="E23" s="147">
        <v>45000</v>
      </c>
      <c r="F23" s="143">
        <f t="shared" si="0"/>
        <v>45000</v>
      </c>
    </row>
    <row r="24" spans="1:6" s="54" customFormat="1">
      <c r="A24" s="141" t="s">
        <v>227</v>
      </c>
      <c r="B24" s="144" t="s">
        <v>228</v>
      </c>
      <c r="C24" s="12">
        <f>19.7*2</f>
        <v>39.4</v>
      </c>
      <c r="D24" s="10" t="s">
        <v>112</v>
      </c>
      <c r="E24" s="147">
        <v>400</v>
      </c>
      <c r="F24" s="143">
        <f t="shared" si="0"/>
        <v>15760</v>
      </c>
    </row>
    <row r="25" spans="1:6" s="54" customFormat="1">
      <c r="A25" s="141" t="s">
        <v>245</v>
      </c>
      <c r="B25" s="144" t="s">
        <v>246</v>
      </c>
      <c r="C25" s="9">
        <v>1400</v>
      </c>
      <c r="D25" s="10" t="s">
        <v>247</v>
      </c>
      <c r="E25" s="147">
        <v>58.4</v>
      </c>
      <c r="F25" s="143">
        <f t="shared" si="0"/>
        <v>81760</v>
      </c>
    </row>
    <row r="26" spans="1:6" s="54" customFormat="1">
      <c r="A26" s="141" t="s">
        <v>250</v>
      </c>
      <c r="B26" s="144" t="s">
        <v>251</v>
      </c>
      <c r="C26" s="9">
        <v>60</v>
      </c>
      <c r="D26" s="13" t="s">
        <v>101</v>
      </c>
      <c r="E26" s="147">
        <v>1261.5</v>
      </c>
      <c r="F26" s="143">
        <f t="shared" si="0"/>
        <v>75690</v>
      </c>
    </row>
    <row r="27" spans="1:6" s="54" customFormat="1">
      <c r="A27" s="141" t="s">
        <v>252</v>
      </c>
      <c r="B27" s="144" t="s">
        <v>253</v>
      </c>
      <c r="C27" s="9">
        <v>150</v>
      </c>
      <c r="D27" s="13" t="s">
        <v>101</v>
      </c>
      <c r="E27" s="147">
        <v>252.8</v>
      </c>
      <c r="F27" s="143">
        <f t="shared" si="0"/>
        <v>37920</v>
      </c>
    </row>
    <row r="28" spans="1:6" s="54" customFormat="1">
      <c r="A28" s="141" t="s">
        <v>461</v>
      </c>
      <c r="B28" s="144" t="s">
        <v>462</v>
      </c>
      <c r="C28" s="9">
        <v>5500</v>
      </c>
      <c r="D28" s="13" t="s">
        <v>69</v>
      </c>
      <c r="E28" s="143">
        <v>5.4</v>
      </c>
      <c r="F28" s="143">
        <f t="shared" si="0"/>
        <v>29700.000000000004</v>
      </c>
    </row>
    <row r="29" spans="1:6" s="54" customFormat="1">
      <c r="A29" s="141" t="s">
        <v>463</v>
      </c>
      <c r="B29" s="144" t="s">
        <v>464</v>
      </c>
      <c r="C29" s="9">
        <v>350</v>
      </c>
      <c r="D29" s="13" t="s">
        <v>218</v>
      </c>
      <c r="E29" s="143">
        <v>225</v>
      </c>
      <c r="F29" s="143">
        <f t="shared" si="0"/>
        <v>78750</v>
      </c>
    </row>
    <row r="30" spans="1:6" s="54" customFormat="1">
      <c r="A30" s="141" t="s">
        <v>465</v>
      </c>
      <c r="B30" s="144" t="s">
        <v>275</v>
      </c>
      <c r="C30" s="15">
        <v>1</v>
      </c>
      <c r="D30" s="13" t="s">
        <v>60</v>
      </c>
      <c r="E30" s="149">
        <v>42000</v>
      </c>
      <c r="F30" s="143">
        <f t="shared" si="0"/>
        <v>42000</v>
      </c>
    </row>
    <row r="31" spans="1:6" s="54" customFormat="1">
      <c r="A31" s="277" t="s">
        <v>466</v>
      </c>
      <c r="B31" s="278"/>
      <c r="C31" s="278"/>
      <c r="D31" s="278"/>
      <c r="E31" s="279"/>
      <c r="F31" s="143">
        <f>SUM(F10:F30)</f>
        <v>4713090</v>
      </c>
    </row>
    <row r="32" spans="1:6" s="54" customFormat="1">
      <c r="A32" s="277" t="s">
        <v>467</v>
      </c>
      <c r="B32" s="278"/>
      <c r="C32" s="278"/>
      <c r="D32" s="278"/>
      <c r="E32" s="279"/>
      <c r="F32" s="143">
        <f>F31*0.02</f>
        <v>94261.8</v>
      </c>
    </row>
    <row r="33" spans="1:6" s="54" customFormat="1">
      <c r="A33" s="277" t="s">
        <v>452</v>
      </c>
      <c r="B33" s="278"/>
      <c r="C33" s="278"/>
      <c r="D33" s="278"/>
      <c r="E33" s="279"/>
      <c r="F33" s="143">
        <f>F31+F32</f>
        <v>4807351.8</v>
      </c>
    </row>
    <row r="34" spans="1:6" s="54" customFormat="1">
      <c r="A34" s="277"/>
      <c r="B34" s="278"/>
      <c r="C34" s="278"/>
      <c r="D34" s="278"/>
      <c r="E34" s="279"/>
      <c r="F34" s="143"/>
    </row>
    <row r="35" spans="1:6" s="54" customFormat="1">
      <c r="A35" s="277" t="s">
        <v>468</v>
      </c>
      <c r="B35" s="278"/>
      <c r="C35" s="278"/>
      <c r="D35" s="278"/>
      <c r="E35" s="279"/>
      <c r="F35" s="143">
        <f>F31*0.02-1613.6</f>
        <v>92648.2</v>
      </c>
    </row>
    <row r="36" spans="1:6" s="54" customFormat="1" ht="15.75" thickBot="1">
      <c r="A36" s="281" t="s">
        <v>453</v>
      </c>
      <c r="B36" s="282"/>
      <c r="C36" s="282"/>
      <c r="D36" s="282"/>
      <c r="E36" s="283"/>
      <c r="F36" s="158">
        <f>F33+F35</f>
        <v>4900000</v>
      </c>
    </row>
    <row r="37" spans="1:6" s="98" customFormat="1" ht="15.75" thickTop="1">
      <c r="A37" s="161"/>
      <c r="B37" s="161"/>
      <c r="C37" s="161"/>
      <c r="D37" s="161"/>
      <c r="E37" s="161"/>
      <c r="F37" s="162"/>
    </row>
    <row r="38" spans="1:6" s="98" customFormat="1">
      <c r="A38" s="159"/>
      <c r="B38" s="159"/>
      <c r="C38" s="159"/>
      <c r="D38" s="159"/>
      <c r="E38" s="159"/>
      <c r="F38" s="160"/>
    </row>
    <row r="39" spans="1:6" s="98" customFormat="1">
      <c r="A39" s="159"/>
      <c r="B39" s="159"/>
      <c r="C39" s="159"/>
      <c r="D39" s="159"/>
      <c r="E39" s="159"/>
      <c r="F39" s="160"/>
    </row>
    <row r="40" spans="1:6" s="98" customFormat="1">
      <c r="A40" s="284" t="s">
        <v>469</v>
      </c>
      <c r="B40" s="284"/>
      <c r="C40" s="284"/>
      <c r="D40" s="284"/>
      <c r="E40" s="284"/>
      <c r="F40" s="284"/>
    </row>
    <row r="41" spans="1:6" s="98" customFormat="1" ht="15.75" thickBot="1">
      <c r="A41" s="285" t="s">
        <v>711</v>
      </c>
      <c r="B41" s="285"/>
      <c r="C41" s="285"/>
      <c r="D41" s="285"/>
      <c r="E41" s="285"/>
      <c r="F41" s="285"/>
    </row>
    <row r="42" spans="1:6" s="54" customFormat="1">
      <c r="A42" s="286" t="s">
        <v>153</v>
      </c>
      <c r="B42" s="287" t="s">
        <v>154</v>
      </c>
      <c r="C42" s="288" t="s">
        <v>155</v>
      </c>
      <c r="D42" s="289" t="s">
        <v>156</v>
      </c>
      <c r="E42" s="290" t="s">
        <v>432</v>
      </c>
      <c r="F42" s="292" t="s">
        <v>152</v>
      </c>
    </row>
    <row r="43" spans="1:6" s="54" customFormat="1">
      <c r="A43" s="286"/>
      <c r="B43" s="287"/>
      <c r="C43" s="288"/>
      <c r="D43" s="289"/>
      <c r="E43" s="291"/>
      <c r="F43" s="293"/>
    </row>
    <row r="44" spans="1:6" s="54" customFormat="1">
      <c r="A44" s="141" t="s">
        <v>169</v>
      </c>
      <c r="B44" s="142" t="s">
        <v>59</v>
      </c>
      <c r="C44" s="9">
        <v>1</v>
      </c>
      <c r="D44" s="10" t="s">
        <v>60</v>
      </c>
      <c r="E44" s="143">
        <v>10000</v>
      </c>
      <c r="F44" s="143">
        <f t="shared" ref="F44:F59" si="1">E44*C44</f>
        <v>10000</v>
      </c>
    </row>
    <row r="45" spans="1:6" s="54" customFormat="1">
      <c r="A45" s="141" t="s">
        <v>170</v>
      </c>
      <c r="B45" s="142" t="s">
        <v>61</v>
      </c>
      <c r="C45" s="9">
        <v>1</v>
      </c>
      <c r="D45" s="10" t="s">
        <v>60</v>
      </c>
      <c r="E45" s="143">
        <v>100000</v>
      </c>
      <c r="F45" s="143">
        <f t="shared" si="1"/>
        <v>100000</v>
      </c>
    </row>
    <row r="46" spans="1:6" s="54" customFormat="1">
      <c r="A46" s="11" t="s">
        <v>62</v>
      </c>
      <c r="B46" s="11" t="s">
        <v>63</v>
      </c>
      <c r="C46" s="9">
        <v>1</v>
      </c>
      <c r="D46" s="10" t="s">
        <v>60</v>
      </c>
      <c r="E46" s="143">
        <v>5000</v>
      </c>
      <c r="F46" s="143">
        <f t="shared" si="1"/>
        <v>5000</v>
      </c>
    </row>
    <row r="47" spans="1:6" s="54" customFormat="1">
      <c r="A47" s="141" t="s">
        <v>470</v>
      </c>
      <c r="B47" s="153" t="s">
        <v>471</v>
      </c>
      <c r="C47" s="9">
        <v>65</v>
      </c>
      <c r="D47" s="10" t="s">
        <v>101</v>
      </c>
      <c r="E47" s="143">
        <v>700</v>
      </c>
      <c r="F47" s="143">
        <f t="shared" si="1"/>
        <v>45500</v>
      </c>
    </row>
    <row r="48" spans="1:6" s="54" customFormat="1">
      <c r="A48" s="141" t="s">
        <v>472</v>
      </c>
      <c r="B48" s="153" t="s">
        <v>473</v>
      </c>
      <c r="C48" s="9">
        <v>45</v>
      </c>
      <c r="D48" s="10" t="s">
        <v>101</v>
      </c>
      <c r="E48" s="147">
        <v>35</v>
      </c>
      <c r="F48" s="143">
        <f t="shared" si="1"/>
        <v>1575</v>
      </c>
    </row>
    <row r="49" spans="1:6" s="54" customFormat="1">
      <c r="A49" s="141" t="s">
        <v>474</v>
      </c>
      <c r="B49" s="145" t="s">
        <v>475</v>
      </c>
      <c r="C49" s="9">
        <v>75000</v>
      </c>
      <c r="D49" s="10" t="s">
        <v>247</v>
      </c>
      <c r="E49" s="143">
        <v>2.5</v>
      </c>
      <c r="F49" s="143">
        <f t="shared" si="1"/>
        <v>187500</v>
      </c>
    </row>
    <row r="50" spans="1:6" s="54" customFormat="1">
      <c r="A50" s="141" t="s">
        <v>476</v>
      </c>
      <c r="B50" s="142" t="s">
        <v>477</v>
      </c>
      <c r="C50" s="9">
        <v>340</v>
      </c>
      <c r="D50" s="10" t="s">
        <v>101</v>
      </c>
      <c r="E50" s="14">
        <v>450</v>
      </c>
      <c r="F50" s="143">
        <f t="shared" si="1"/>
        <v>153000</v>
      </c>
    </row>
    <row r="51" spans="1:6" s="54" customFormat="1">
      <c r="A51" s="141" t="s">
        <v>478</v>
      </c>
      <c r="B51" s="142" t="s">
        <v>479</v>
      </c>
      <c r="C51" s="9">
        <v>3500</v>
      </c>
      <c r="D51" s="10" t="s">
        <v>101</v>
      </c>
      <c r="E51" s="14">
        <v>45</v>
      </c>
      <c r="F51" s="143">
        <f t="shared" si="1"/>
        <v>157500</v>
      </c>
    </row>
    <row r="52" spans="1:6" s="54" customFormat="1">
      <c r="A52" s="141" t="s">
        <v>207</v>
      </c>
      <c r="B52" s="144" t="s">
        <v>208</v>
      </c>
      <c r="C52" s="9">
        <v>650</v>
      </c>
      <c r="D52" s="10" t="s">
        <v>69</v>
      </c>
      <c r="E52" s="147">
        <v>16.3</v>
      </c>
      <c r="F52" s="143">
        <f t="shared" si="1"/>
        <v>10595</v>
      </c>
    </row>
    <row r="53" spans="1:6" s="54" customFormat="1">
      <c r="A53" s="141" t="s">
        <v>210</v>
      </c>
      <c r="B53" s="144" t="s">
        <v>211</v>
      </c>
      <c r="C53" s="9">
        <v>270</v>
      </c>
      <c r="D53" s="10" t="s">
        <v>69</v>
      </c>
      <c r="E53" s="143">
        <v>16.5</v>
      </c>
      <c r="F53" s="143">
        <f t="shared" si="1"/>
        <v>4455</v>
      </c>
    </row>
    <row r="54" spans="1:6" s="54" customFormat="1">
      <c r="A54" s="141" t="s">
        <v>216</v>
      </c>
      <c r="B54" s="144" t="s">
        <v>217</v>
      </c>
      <c r="C54" s="9">
        <v>1500</v>
      </c>
      <c r="D54" s="10" t="s">
        <v>218</v>
      </c>
      <c r="E54" s="147">
        <v>24</v>
      </c>
      <c r="F54" s="143">
        <f t="shared" si="1"/>
        <v>36000</v>
      </c>
    </row>
    <row r="55" spans="1:6" s="54" customFormat="1">
      <c r="A55" s="141" t="s">
        <v>219</v>
      </c>
      <c r="B55" s="144" t="s">
        <v>220</v>
      </c>
      <c r="C55" s="9">
        <v>200</v>
      </c>
      <c r="D55" s="10" t="s">
        <v>218</v>
      </c>
      <c r="E55" s="147">
        <v>40</v>
      </c>
      <c r="F55" s="143">
        <f t="shared" si="1"/>
        <v>8000</v>
      </c>
    </row>
    <row r="56" spans="1:6" s="54" customFormat="1">
      <c r="A56" s="141" t="s">
        <v>221</v>
      </c>
      <c r="B56" s="144" t="s">
        <v>222</v>
      </c>
      <c r="C56" s="148">
        <v>700</v>
      </c>
      <c r="D56" s="10" t="s">
        <v>200</v>
      </c>
      <c r="E56" s="147">
        <v>4.7</v>
      </c>
      <c r="F56" s="143">
        <f t="shared" si="1"/>
        <v>3290</v>
      </c>
    </row>
    <row r="57" spans="1:6" s="54" customFormat="1">
      <c r="A57" s="141" t="s">
        <v>223</v>
      </c>
      <c r="B57" s="144" t="s">
        <v>224</v>
      </c>
      <c r="C57" s="9">
        <v>1</v>
      </c>
      <c r="D57" s="10" t="s">
        <v>60</v>
      </c>
      <c r="E57" s="147">
        <v>45000</v>
      </c>
      <c r="F57" s="143">
        <f t="shared" si="1"/>
        <v>45000</v>
      </c>
    </row>
    <row r="58" spans="1:6" s="54" customFormat="1">
      <c r="A58" s="141" t="s">
        <v>227</v>
      </c>
      <c r="B58" s="144" t="s">
        <v>228</v>
      </c>
      <c r="C58" s="12">
        <v>20.7</v>
      </c>
      <c r="D58" s="10" t="s">
        <v>112</v>
      </c>
      <c r="E58" s="147">
        <v>400</v>
      </c>
      <c r="F58" s="143">
        <f t="shared" si="1"/>
        <v>8280</v>
      </c>
    </row>
    <row r="59" spans="1:6" s="54" customFormat="1">
      <c r="A59" s="141" t="s">
        <v>465</v>
      </c>
      <c r="B59" s="144" t="s">
        <v>275</v>
      </c>
      <c r="C59" s="15">
        <v>1</v>
      </c>
      <c r="D59" s="13" t="s">
        <v>60</v>
      </c>
      <c r="E59" s="149">
        <v>5000</v>
      </c>
      <c r="F59" s="143">
        <f t="shared" si="1"/>
        <v>5000</v>
      </c>
    </row>
    <row r="60" spans="1:6" s="54" customFormat="1">
      <c r="A60" s="277" t="s">
        <v>466</v>
      </c>
      <c r="B60" s="278"/>
      <c r="C60" s="278"/>
      <c r="D60" s="278"/>
      <c r="E60" s="279"/>
      <c r="F60" s="143">
        <f>SUM(F44:F59)</f>
        <v>780695</v>
      </c>
    </row>
    <row r="61" spans="1:6" s="54" customFormat="1">
      <c r="A61" s="277" t="s">
        <v>480</v>
      </c>
      <c r="B61" s="278"/>
      <c r="C61" s="278"/>
      <c r="D61" s="278"/>
      <c r="E61" s="279"/>
      <c r="F61" s="143">
        <f>F60*0.04</f>
        <v>31227.8</v>
      </c>
    </row>
    <row r="62" spans="1:6" s="54" customFormat="1">
      <c r="A62" s="277" t="s">
        <v>452</v>
      </c>
      <c r="B62" s="278"/>
      <c r="C62" s="278"/>
      <c r="D62" s="278"/>
      <c r="E62" s="279"/>
      <c r="F62" s="143">
        <f>F60+F61</f>
        <v>811922.8</v>
      </c>
    </row>
    <row r="63" spans="1:6" s="54" customFormat="1">
      <c r="A63" s="277"/>
      <c r="B63" s="278"/>
      <c r="C63" s="278"/>
      <c r="D63" s="278"/>
      <c r="E63" s="279"/>
      <c r="F63" s="143"/>
    </row>
    <row r="64" spans="1:6" s="54" customFormat="1">
      <c r="A64" s="277" t="s">
        <v>481</v>
      </c>
      <c r="B64" s="278"/>
      <c r="C64" s="278"/>
      <c r="D64" s="278"/>
      <c r="E64" s="279"/>
      <c r="F64" s="143">
        <f>F60*0.04+1349.4+500</f>
        <v>33077.199999999997</v>
      </c>
    </row>
    <row r="65" spans="1:9" s="54" customFormat="1" ht="15.75" thickBot="1">
      <c r="A65" s="277" t="s">
        <v>453</v>
      </c>
      <c r="B65" s="278"/>
      <c r="C65" s="278"/>
      <c r="D65" s="278"/>
      <c r="E65" s="279"/>
      <c r="F65" s="143">
        <f>F62+F64</f>
        <v>845000</v>
      </c>
      <c r="H65" s="164"/>
      <c r="I65" s="164"/>
    </row>
    <row r="66" spans="1:9" s="54" customFormat="1" ht="15.75" thickTop="1">
      <c r="A66" s="161"/>
      <c r="B66" s="161"/>
      <c r="C66" s="161"/>
      <c r="D66" s="161"/>
      <c r="E66" s="161"/>
      <c r="F66" s="162"/>
    </row>
    <row r="67" spans="1:9" s="54" customFormat="1">
      <c r="B67" s="151"/>
    </row>
    <row r="68" spans="1:9" s="54" customFormat="1" ht="27.4" customHeight="1" thickBot="1">
      <c r="A68" s="280" t="s">
        <v>484</v>
      </c>
      <c r="B68" s="280"/>
      <c r="C68" s="280"/>
      <c r="D68" s="280"/>
      <c r="E68" s="280"/>
    </row>
    <row r="69" spans="1:9" s="54" customFormat="1" ht="43.15" customHeight="1">
      <c r="A69" s="275" t="s">
        <v>489</v>
      </c>
      <c r="B69" s="275"/>
      <c r="C69">
        <v>3</v>
      </c>
      <c r="D69" s="129">
        <f>F65</f>
        <v>845000</v>
      </c>
      <c r="E69" s="129">
        <f>C69*D69</f>
        <v>2535000</v>
      </c>
    </row>
    <row r="70" spans="1:9" s="54" customFormat="1">
      <c r="A70" s="276" t="s">
        <v>485</v>
      </c>
      <c r="B70" s="276"/>
      <c r="C70" s="163">
        <v>1</v>
      </c>
      <c r="D70" s="129">
        <f>F36</f>
        <v>4900000</v>
      </c>
      <c r="E70" s="129">
        <f>C70*D70</f>
        <v>4900000</v>
      </c>
    </row>
    <row r="71" spans="1:9" s="54" customFormat="1">
      <c r="A71"/>
      <c r="B71"/>
      <c r="C71" s="129"/>
      <c r="D71"/>
      <c r="E71"/>
    </row>
    <row r="72" spans="1:9" s="54" customFormat="1">
      <c r="A72" t="s">
        <v>488</v>
      </c>
      <c r="B72"/>
      <c r="C72" s="129"/>
      <c r="D72"/>
      <c r="E72" s="128">
        <f>SUM(E69:E71)</f>
        <v>7435000</v>
      </c>
    </row>
    <row r="73" spans="1:9" s="54" customFormat="1">
      <c r="A73" t="s">
        <v>490</v>
      </c>
      <c r="B73"/>
      <c r="C73" s="129"/>
      <c r="D73"/>
      <c r="E73" s="128">
        <f>F65</f>
        <v>845000</v>
      </c>
    </row>
    <row r="74" spans="1:9" s="54" customFormat="1">
      <c r="A74"/>
      <c r="B74"/>
      <c r="C74" s="129"/>
      <c r="D74"/>
      <c r="E74" s="128"/>
    </row>
    <row r="75" spans="1:9" s="54" customFormat="1">
      <c r="A75" t="s">
        <v>499</v>
      </c>
      <c r="B75"/>
      <c r="C75" s="129"/>
      <c r="D75"/>
      <c r="E75">
        <v>37</v>
      </c>
    </row>
    <row r="76" spans="1:9" s="54" customFormat="1">
      <c r="A76" t="s">
        <v>486</v>
      </c>
      <c r="B76"/>
      <c r="C76" s="129"/>
      <c r="D76"/>
      <c r="E76" s="131">
        <f>E72/E75</f>
        <v>200945.94594594595</v>
      </c>
    </row>
    <row r="77" spans="1:9">
      <c r="B77"/>
    </row>
    <row r="78" spans="1:9" ht="15.75" thickBot="1">
      <c r="A78" s="132" t="s">
        <v>491</v>
      </c>
      <c r="B78" s="132"/>
      <c r="C78" s="132"/>
      <c r="D78" s="132"/>
      <c r="E78" s="133">
        <f>E72+E73</f>
        <v>8280000</v>
      </c>
    </row>
    <row r="79" spans="1:9" ht="15.75" thickTop="1"/>
  </sheetData>
  <mergeCells count="35">
    <mergeCell ref="F8:F9"/>
    <mergeCell ref="A1:F1"/>
    <mergeCell ref="A2:F2"/>
    <mergeCell ref="A3:F3"/>
    <mergeCell ref="A4:F4"/>
    <mergeCell ref="A6:F6"/>
    <mergeCell ref="A7:F7"/>
    <mergeCell ref="A8:A9"/>
    <mergeCell ref="B8:B9"/>
    <mergeCell ref="C8:C9"/>
    <mergeCell ref="D8:D9"/>
    <mergeCell ref="E8:E9"/>
    <mergeCell ref="A31:E31"/>
    <mergeCell ref="A32:E32"/>
    <mergeCell ref="A33:E33"/>
    <mergeCell ref="A34:E34"/>
    <mergeCell ref="A35:E35"/>
    <mergeCell ref="A36:E36"/>
    <mergeCell ref="A40:F40"/>
    <mergeCell ref="A41:F41"/>
    <mergeCell ref="A42:A43"/>
    <mergeCell ref="B42:B43"/>
    <mergeCell ref="C42:C43"/>
    <mergeCell ref="D42:D43"/>
    <mergeCell ref="E42:E43"/>
    <mergeCell ref="F42:F43"/>
    <mergeCell ref="A69:B69"/>
    <mergeCell ref="A70:B70"/>
    <mergeCell ref="A60:E60"/>
    <mergeCell ref="A61:E61"/>
    <mergeCell ref="A62:E62"/>
    <mergeCell ref="A63:E63"/>
    <mergeCell ref="A64:E64"/>
    <mergeCell ref="A68:E68"/>
    <mergeCell ref="A65:E65"/>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12353-8CE1-4D5B-B810-BA7AD00140CA}">
  <dimension ref="A1:F79"/>
  <sheetViews>
    <sheetView zoomScaleNormal="100" workbookViewId="0">
      <selection activeCell="A4" sqref="A4:F4"/>
    </sheetView>
  </sheetViews>
  <sheetFormatPr defaultRowHeight="15"/>
  <cols>
    <col min="1" max="1" width="10" customWidth="1"/>
    <col min="2" max="2" width="48.42578125" style="152" customWidth="1"/>
    <col min="3" max="3" width="10" customWidth="1"/>
    <col min="4" max="4" width="12" bestFit="1" customWidth="1"/>
    <col min="5" max="5" width="17.7109375" customWidth="1"/>
    <col min="6" max="6" width="15.28515625" bestFit="1" customWidth="1"/>
    <col min="8" max="9" width="13.28515625" bestFit="1" customWidth="1"/>
  </cols>
  <sheetData>
    <row r="1" spans="1:6" ht="23.25">
      <c r="A1" s="262" t="s">
        <v>10</v>
      </c>
      <c r="B1" s="262"/>
      <c r="C1" s="262"/>
      <c r="D1" s="262"/>
      <c r="E1" s="262"/>
      <c r="F1" s="262"/>
    </row>
    <row r="2" spans="1:6" ht="20.25" thickBot="1">
      <c r="A2" s="263" t="s">
        <v>9</v>
      </c>
      <c r="B2" s="263"/>
      <c r="C2" s="263"/>
      <c r="D2" s="263"/>
      <c r="E2" s="263"/>
      <c r="F2" s="263"/>
    </row>
    <row r="3" spans="1:6" ht="21" thickTop="1" thickBot="1">
      <c r="A3" s="263" t="s">
        <v>454</v>
      </c>
      <c r="B3" s="263"/>
      <c r="C3" s="263"/>
      <c r="D3" s="263"/>
      <c r="E3" s="263"/>
      <c r="F3" s="263"/>
    </row>
    <row r="4" spans="1:6" ht="16.5" thickTop="1" thickBot="1">
      <c r="A4" s="285" t="s">
        <v>492</v>
      </c>
      <c r="B4" s="285"/>
      <c r="C4" s="285"/>
      <c r="D4" s="285"/>
      <c r="E4" s="285"/>
      <c r="F4" s="285"/>
    </row>
    <row r="6" spans="1:6" s="54" customFormat="1">
      <c r="A6" s="300" t="s">
        <v>513</v>
      </c>
      <c r="B6" s="300"/>
      <c r="C6" s="300"/>
      <c r="D6" s="300"/>
      <c r="E6" s="300"/>
      <c r="F6" s="300"/>
    </row>
    <row r="7" spans="1:6" s="54" customFormat="1" ht="15.75" thickBot="1">
      <c r="A7" s="301" t="s">
        <v>151</v>
      </c>
      <c r="B7" s="301"/>
      <c r="C7" s="301"/>
      <c r="D7" s="301"/>
      <c r="E7" s="301"/>
      <c r="F7" s="301"/>
    </row>
    <row r="8" spans="1:6" s="54" customFormat="1" ht="14.45" customHeight="1">
      <c r="A8" s="286" t="s">
        <v>153</v>
      </c>
      <c r="B8" s="287" t="s">
        <v>154</v>
      </c>
      <c r="C8" s="288" t="s">
        <v>155</v>
      </c>
      <c r="D8" s="289" t="s">
        <v>156</v>
      </c>
      <c r="E8" s="290" t="s">
        <v>432</v>
      </c>
      <c r="F8" s="292" t="s">
        <v>152</v>
      </c>
    </row>
    <row r="9" spans="1:6" s="54" customFormat="1">
      <c r="A9" s="286"/>
      <c r="B9" s="287"/>
      <c r="C9" s="288"/>
      <c r="D9" s="289"/>
      <c r="E9" s="291"/>
      <c r="F9" s="293"/>
    </row>
    <row r="10" spans="1:6" s="54" customFormat="1">
      <c r="A10" s="141" t="s">
        <v>170</v>
      </c>
      <c r="B10" s="142" t="s">
        <v>61</v>
      </c>
      <c r="C10" s="9">
        <v>1</v>
      </c>
      <c r="D10" s="10" t="s">
        <v>60</v>
      </c>
      <c r="E10" s="143">
        <v>400000</v>
      </c>
      <c r="F10" s="143">
        <f t="shared" ref="F10:F35" si="0">E10*C10</f>
        <v>400000</v>
      </c>
    </row>
    <row r="11" spans="1:6" s="54" customFormat="1">
      <c r="A11" s="11" t="s">
        <v>62</v>
      </c>
      <c r="B11" s="11" t="s">
        <v>63</v>
      </c>
      <c r="C11" s="9">
        <v>1</v>
      </c>
      <c r="D11" s="10" t="s">
        <v>60</v>
      </c>
      <c r="E11" s="143">
        <v>12000</v>
      </c>
      <c r="F11" s="143">
        <f t="shared" si="0"/>
        <v>12000</v>
      </c>
    </row>
    <row r="12" spans="1:6" s="54" customFormat="1">
      <c r="A12" s="141" t="s">
        <v>171</v>
      </c>
      <c r="B12" s="142" t="s">
        <v>64</v>
      </c>
      <c r="C12" s="9">
        <v>1</v>
      </c>
      <c r="D12" s="10" t="s">
        <v>60</v>
      </c>
      <c r="E12" s="143">
        <v>60000</v>
      </c>
      <c r="F12" s="143">
        <f t="shared" si="0"/>
        <v>60000</v>
      </c>
    </row>
    <row r="13" spans="1:6" s="54" customFormat="1">
      <c r="A13" s="141" t="s">
        <v>172</v>
      </c>
      <c r="B13" s="142" t="s">
        <v>65</v>
      </c>
      <c r="C13" s="9">
        <v>75</v>
      </c>
      <c r="D13" s="10" t="s">
        <v>66</v>
      </c>
      <c r="E13" s="143">
        <v>17.899999999999999</v>
      </c>
      <c r="F13" s="143">
        <f t="shared" si="0"/>
        <v>1342.5</v>
      </c>
    </row>
    <row r="14" spans="1:6" s="54" customFormat="1">
      <c r="A14" s="141" t="s">
        <v>173</v>
      </c>
      <c r="B14" s="142" t="s">
        <v>67</v>
      </c>
      <c r="C14" s="9">
        <v>20</v>
      </c>
      <c r="D14" s="10" t="s">
        <v>66</v>
      </c>
      <c r="E14" s="143">
        <v>17.399999999999999</v>
      </c>
      <c r="F14" s="143">
        <f t="shared" si="0"/>
        <v>348</v>
      </c>
    </row>
    <row r="15" spans="1:6" s="54" customFormat="1">
      <c r="A15" s="141" t="s">
        <v>459</v>
      </c>
      <c r="B15" s="144" t="s">
        <v>460</v>
      </c>
      <c r="C15" s="12">
        <v>19.7</v>
      </c>
      <c r="D15" s="10" t="s">
        <v>112</v>
      </c>
      <c r="E15" s="147">
        <v>1200</v>
      </c>
      <c r="F15" s="143">
        <f t="shared" si="0"/>
        <v>23640</v>
      </c>
    </row>
    <row r="16" spans="1:6" s="54" customFormat="1">
      <c r="A16" s="141" t="s">
        <v>501</v>
      </c>
      <c r="B16" s="144" t="s">
        <v>502</v>
      </c>
      <c r="C16" s="9">
        <v>108000</v>
      </c>
      <c r="D16" s="13" t="s">
        <v>69</v>
      </c>
      <c r="E16" s="14">
        <v>15</v>
      </c>
      <c r="F16" s="143">
        <f t="shared" si="0"/>
        <v>1620000</v>
      </c>
    </row>
    <row r="17" spans="1:6" s="54" customFormat="1" ht="25.5">
      <c r="A17" s="141" t="s">
        <v>503</v>
      </c>
      <c r="B17" s="145" t="s">
        <v>504</v>
      </c>
      <c r="C17" s="9">
        <f>27*2</f>
        <v>54</v>
      </c>
      <c r="D17" s="13" t="s">
        <v>66</v>
      </c>
      <c r="E17" s="14">
        <v>3600</v>
      </c>
      <c r="F17" s="143">
        <f t="shared" si="0"/>
        <v>194400</v>
      </c>
    </row>
    <row r="18" spans="1:6" s="54" customFormat="1">
      <c r="A18" s="141" t="s">
        <v>505</v>
      </c>
      <c r="B18" s="144" t="s">
        <v>506</v>
      </c>
      <c r="C18" s="9">
        <v>36000</v>
      </c>
      <c r="D18" s="13" t="s">
        <v>69</v>
      </c>
      <c r="E18" s="14">
        <v>26.5</v>
      </c>
      <c r="F18" s="143">
        <f t="shared" si="0"/>
        <v>954000</v>
      </c>
    </row>
    <row r="19" spans="1:6" s="54" customFormat="1">
      <c r="A19" s="141" t="s">
        <v>507</v>
      </c>
      <c r="B19" s="144" t="s">
        <v>508</v>
      </c>
      <c r="C19" s="9">
        <v>18</v>
      </c>
      <c r="D19" s="13" t="s">
        <v>66</v>
      </c>
      <c r="E19" s="147">
        <v>3200</v>
      </c>
      <c r="F19" s="143">
        <f t="shared" si="0"/>
        <v>57600</v>
      </c>
    </row>
    <row r="20" spans="1:6" s="54" customFormat="1">
      <c r="A20" s="141" t="s">
        <v>147</v>
      </c>
      <c r="B20" s="142" t="s">
        <v>148</v>
      </c>
      <c r="C20" s="148">
        <v>3000</v>
      </c>
      <c r="D20" s="10" t="s">
        <v>69</v>
      </c>
      <c r="E20" s="14">
        <v>11</v>
      </c>
      <c r="F20" s="143">
        <f t="shared" si="0"/>
        <v>33000</v>
      </c>
    </row>
    <row r="21" spans="1:6" s="54" customFormat="1">
      <c r="A21" s="141" t="s">
        <v>188</v>
      </c>
      <c r="B21" s="142" t="s">
        <v>189</v>
      </c>
      <c r="C21" s="9">
        <v>144</v>
      </c>
      <c r="D21" s="10" t="s">
        <v>66</v>
      </c>
      <c r="E21" s="14">
        <v>113.7</v>
      </c>
      <c r="F21" s="143">
        <f t="shared" si="0"/>
        <v>16372.800000000001</v>
      </c>
    </row>
    <row r="22" spans="1:6" s="54" customFormat="1">
      <c r="A22" s="141" t="s">
        <v>192</v>
      </c>
      <c r="B22" s="144" t="s">
        <v>193</v>
      </c>
      <c r="C22" s="9">
        <v>580</v>
      </c>
      <c r="D22" s="13" t="s">
        <v>66</v>
      </c>
      <c r="E22" s="14">
        <v>21.8</v>
      </c>
      <c r="F22" s="143">
        <f t="shared" si="0"/>
        <v>12644</v>
      </c>
    </row>
    <row r="23" spans="1:6" s="54" customFormat="1">
      <c r="A23" s="141" t="s">
        <v>194</v>
      </c>
      <c r="B23" s="144" t="s">
        <v>195</v>
      </c>
      <c r="C23" s="9">
        <v>25</v>
      </c>
      <c r="D23" s="13" t="s">
        <v>66</v>
      </c>
      <c r="E23" s="14">
        <v>19.7</v>
      </c>
      <c r="F23" s="143">
        <f t="shared" si="0"/>
        <v>492.5</v>
      </c>
    </row>
    <row r="24" spans="1:6" s="54" customFormat="1">
      <c r="A24" s="141" t="s">
        <v>196</v>
      </c>
      <c r="B24" s="144" t="s">
        <v>197</v>
      </c>
      <c r="C24" s="9">
        <v>50</v>
      </c>
      <c r="D24" s="13" t="s">
        <v>66</v>
      </c>
      <c r="E24" s="14">
        <v>33</v>
      </c>
      <c r="F24" s="143">
        <f t="shared" si="0"/>
        <v>1650</v>
      </c>
    </row>
    <row r="25" spans="1:6" s="54" customFormat="1">
      <c r="A25" s="141" t="s">
        <v>198</v>
      </c>
      <c r="B25" s="144" t="s">
        <v>199</v>
      </c>
      <c r="C25" s="9">
        <v>5000</v>
      </c>
      <c r="D25" s="13" t="s">
        <v>200</v>
      </c>
      <c r="E25" s="14">
        <v>23</v>
      </c>
      <c r="F25" s="143">
        <f t="shared" si="0"/>
        <v>115000</v>
      </c>
    </row>
    <row r="26" spans="1:6" s="54" customFormat="1">
      <c r="A26" s="141" t="s">
        <v>205</v>
      </c>
      <c r="B26" s="145" t="s">
        <v>206</v>
      </c>
      <c r="C26" s="9">
        <v>600</v>
      </c>
      <c r="D26" s="10" t="s">
        <v>69</v>
      </c>
      <c r="E26" s="147">
        <v>18.100000000000001</v>
      </c>
      <c r="F26" s="143">
        <f t="shared" si="0"/>
        <v>10860</v>
      </c>
    </row>
    <row r="27" spans="1:6" s="54" customFormat="1">
      <c r="A27" s="141" t="s">
        <v>216</v>
      </c>
      <c r="B27" s="144" t="s">
        <v>217</v>
      </c>
      <c r="C27" s="9">
        <v>2000</v>
      </c>
      <c r="D27" s="10" t="s">
        <v>218</v>
      </c>
      <c r="E27" s="147">
        <v>24</v>
      </c>
      <c r="F27" s="143">
        <f t="shared" si="0"/>
        <v>48000</v>
      </c>
    </row>
    <row r="28" spans="1:6" s="54" customFormat="1">
      <c r="A28" s="141" t="s">
        <v>219</v>
      </c>
      <c r="B28" s="144" t="s">
        <v>220</v>
      </c>
      <c r="C28" s="9">
        <v>1000</v>
      </c>
      <c r="D28" s="10" t="s">
        <v>218</v>
      </c>
      <c r="E28" s="147">
        <v>40</v>
      </c>
      <c r="F28" s="143">
        <f t="shared" si="0"/>
        <v>40000</v>
      </c>
    </row>
    <row r="29" spans="1:6" s="54" customFormat="1">
      <c r="A29" s="141" t="s">
        <v>221</v>
      </c>
      <c r="B29" s="144" t="s">
        <v>222</v>
      </c>
      <c r="C29" s="148">
        <v>400</v>
      </c>
      <c r="D29" s="10" t="s">
        <v>200</v>
      </c>
      <c r="E29" s="147">
        <v>4.7</v>
      </c>
      <c r="F29" s="143">
        <f t="shared" si="0"/>
        <v>1880</v>
      </c>
    </row>
    <row r="30" spans="1:6" s="54" customFormat="1">
      <c r="A30" s="141" t="s">
        <v>223</v>
      </c>
      <c r="B30" s="144" t="s">
        <v>224</v>
      </c>
      <c r="C30" s="9">
        <v>1</v>
      </c>
      <c r="D30" s="10" t="s">
        <v>60</v>
      </c>
      <c r="E30" s="147">
        <v>5000</v>
      </c>
      <c r="F30" s="143">
        <f t="shared" si="0"/>
        <v>5000</v>
      </c>
    </row>
    <row r="31" spans="1:6" s="54" customFormat="1">
      <c r="A31" s="141" t="s">
        <v>436</v>
      </c>
      <c r="B31" s="144" t="s">
        <v>509</v>
      </c>
      <c r="C31" s="12">
        <v>0.9</v>
      </c>
      <c r="D31" s="10" t="s">
        <v>112</v>
      </c>
      <c r="E31" s="147">
        <v>280000</v>
      </c>
      <c r="F31" s="143">
        <f t="shared" si="0"/>
        <v>252000</v>
      </c>
    </row>
    <row r="32" spans="1:6" s="54" customFormat="1">
      <c r="A32" s="141" t="s">
        <v>510</v>
      </c>
      <c r="B32" s="144" t="s">
        <v>511</v>
      </c>
      <c r="C32" s="9">
        <v>4</v>
      </c>
      <c r="D32" s="10" t="s">
        <v>66</v>
      </c>
      <c r="E32" s="147">
        <v>17500</v>
      </c>
      <c r="F32" s="143">
        <f t="shared" si="0"/>
        <v>70000</v>
      </c>
    </row>
    <row r="33" spans="1:6" s="54" customFormat="1">
      <c r="A33" s="141" t="s">
        <v>235</v>
      </c>
      <c r="B33" s="144" t="s">
        <v>236</v>
      </c>
      <c r="C33" s="9">
        <v>30000</v>
      </c>
      <c r="D33" s="13" t="s">
        <v>200</v>
      </c>
      <c r="E33" s="147">
        <v>6.4</v>
      </c>
      <c r="F33" s="143">
        <f t="shared" si="0"/>
        <v>192000</v>
      </c>
    </row>
    <row r="34" spans="1:6" s="54" customFormat="1">
      <c r="A34" s="141" t="s">
        <v>237</v>
      </c>
      <c r="B34" s="144" t="s">
        <v>238</v>
      </c>
      <c r="C34" s="9">
        <v>400</v>
      </c>
      <c r="D34" s="13" t="s">
        <v>200</v>
      </c>
      <c r="E34" s="147">
        <v>47.7</v>
      </c>
      <c r="F34" s="143">
        <f t="shared" si="0"/>
        <v>19080</v>
      </c>
    </row>
    <row r="35" spans="1:6" s="54" customFormat="1">
      <c r="A35" s="141" t="s">
        <v>268</v>
      </c>
      <c r="B35" s="145" t="s">
        <v>269</v>
      </c>
      <c r="C35" s="15">
        <v>25</v>
      </c>
      <c r="D35" s="13" t="s">
        <v>66</v>
      </c>
      <c r="E35" s="149">
        <v>246.7</v>
      </c>
      <c r="F35" s="143">
        <f t="shared" si="0"/>
        <v>6167.5</v>
      </c>
    </row>
    <row r="36" spans="1:6" s="54" customFormat="1">
      <c r="A36" s="297" t="s">
        <v>377</v>
      </c>
      <c r="B36" s="298"/>
      <c r="C36" s="298"/>
      <c r="D36" s="298"/>
      <c r="E36" s="299"/>
      <c r="F36" s="143">
        <f>SUM(F10:F35)</f>
        <v>4147477.3</v>
      </c>
    </row>
    <row r="37" spans="1:6" s="98" customFormat="1">
      <c r="A37" s="297" t="s">
        <v>444</v>
      </c>
      <c r="B37" s="298"/>
      <c r="C37" s="298"/>
      <c r="D37" s="298"/>
      <c r="E37" s="299"/>
      <c r="F37" s="143">
        <f>F36*0.03</f>
        <v>124424.31899999999</v>
      </c>
    </row>
    <row r="38" spans="1:6" s="98" customFormat="1">
      <c r="A38" s="297" t="s">
        <v>378</v>
      </c>
      <c r="B38" s="298"/>
      <c r="C38" s="298"/>
      <c r="D38" s="298"/>
      <c r="E38" s="299"/>
      <c r="F38" s="143">
        <f>F36+F37</f>
        <v>4271901.6189999999</v>
      </c>
    </row>
    <row r="39" spans="1:6" s="98" customFormat="1">
      <c r="A39" s="297"/>
      <c r="B39" s="298"/>
      <c r="C39" s="298"/>
      <c r="D39" s="298"/>
      <c r="E39" s="299"/>
      <c r="F39" s="143"/>
    </row>
    <row r="40" spans="1:6" s="98" customFormat="1">
      <c r="A40" s="297" t="s">
        <v>512</v>
      </c>
      <c r="B40" s="298"/>
      <c r="C40" s="298"/>
      <c r="D40" s="298"/>
      <c r="E40" s="299"/>
      <c r="F40" s="143">
        <f>F36*0.03+3674.06</f>
        <v>128098.37899999999</v>
      </c>
    </row>
    <row r="41" spans="1:6" s="98" customFormat="1" ht="15.75" thickBot="1">
      <c r="A41" s="302" t="s">
        <v>453</v>
      </c>
      <c r="B41" s="303"/>
      <c r="C41" s="303"/>
      <c r="D41" s="303"/>
      <c r="E41" s="304"/>
      <c r="F41" s="165">
        <f>F38+F40</f>
        <v>4399999.9979999997</v>
      </c>
    </row>
    <row r="42" spans="1:6" s="98" customFormat="1" ht="15.75" thickTop="1">
      <c r="A42" s="159"/>
      <c r="B42" s="159"/>
      <c r="C42" s="159"/>
      <c r="D42" s="159"/>
      <c r="E42" s="159"/>
      <c r="F42" s="160"/>
    </row>
    <row r="43" spans="1:6" s="98" customFormat="1">
      <c r="A43" s="284" t="s">
        <v>514</v>
      </c>
      <c r="B43" s="284"/>
      <c r="C43" s="284"/>
      <c r="D43" s="284"/>
      <c r="E43" s="284"/>
      <c r="F43" s="284"/>
    </row>
    <row r="44" spans="1:6" s="98" customFormat="1" ht="15.75" thickBot="1">
      <c r="A44" s="285" t="s">
        <v>151</v>
      </c>
      <c r="B44" s="285"/>
      <c r="C44" s="285"/>
      <c r="D44" s="285"/>
      <c r="E44" s="285"/>
      <c r="F44" s="285"/>
    </row>
    <row r="45" spans="1:6" s="54" customFormat="1">
      <c r="A45" s="286" t="s">
        <v>153</v>
      </c>
      <c r="B45" s="287" t="s">
        <v>154</v>
      </c>
      <c r="C45" s="288" t="s">
        <v>155</v>
      </c>
      <c r="D45" s="289" t="s">
        <v>156</v>
      </c>
      <c r="E45" s="290" t="s">
        <v>432</v>
      </c>
      <c r="F45" s="292" t="s">
        <v>152</v>
      </c>
    </row>
    <row r="46" spans="1:6" s="54" customFormat="1">
      <c r="A46" s="286"/>
      <c r="B46" s="287"/>
      <c r="C46" s="288"/>
      <c r="D46" s="289"/>
      <c r="E46" s="291"/>
      <c r="F46" s="293"/>
    </row>
    <row r="47" spans="1:6" s="54" customFormat="1">
      <c r="A47" s="141" t="s">
        <v>170</v>
      </c>
      <c r="B47" s="142" t="s">
        <v>61</v>
      </c>
      <c r="C47" s="9">
        <v>1</v>
      </c>
      <c r="D47" s="10" t="s">
        <v>60</v>
      </c>
      <c r="E47" s="143">
        <v>9455.5</v>
      </c>
      <c r="F47" s="143">
        <f t="shared" ref="F47:F66" si="1">E47*C47</f>
        <v>9455.5</v>
      </c>
    </row>
    <row r="48" spans="1:6" s="54" customFormat="1">
      <c r="A48" s="141" t="s">
        <v>515</v>
      </c>
      <c r="B48" s="144" t="s">
        <v>516</v>
      </c>
      <c r="C48" s="9">
        <v>1000</v>
      </c>
      <c r="D48" s="13" t="s">
        <v>69</v>
      </c>
      <c r="E48" s="14">
        <v>7</v>
      </c>
      <c r="F48" s="143">
        <f t="shared" si="1"/>
        <v>7000</v>
      </c>
    </row>
    <row r="49" spans="1:6" s="54" customFormat="1">
      <c r="A49" s="141" t="s">
        <v>517</v>
      </c>
      <c r="B49" s="144" t="s">
        <v>518</v>
      </c>
      <c r="C49" s="9">
        <v>5</v>
      </c>
      <c r="D49" s="13" t="s">
        <v>66</v>
      </c>
      <c r="E49" s="14">
        <v>150</v>
      </c>
      <c r="F49" s="143">
        <f t="shared" si="1"/>
        <v>750</v>
      </c>
    </row>
    <row r="50" spans="1:6" s="54" customFormat="1">
      <c r="A50" s="141" t="s">
        <v>519</v>
      </c>
      <c r="B50" s="145" t="s">
        <v>520</v>
      </c>
      <c r="C50" s="9">
        <v>2</v>
      </c>
      <c r="D50" s="13" t="s">
        <v>66</v>
      </c>
      <c r="E50" s="14">
        <v>1000</v>
      </c>
      <c r="F50" s="143">
        <f t="shared" si="1"/>
        <v>2000</v>
      </c>
    </row>
    <row r="51" spans="1:6" s="54" customFormat="1">
      <c r="A51" s="141" t="s">
        <v>521</v>
      </c>
      <c r="B51" s="144" t="s">
        <v>522</v>
      </c>
      <c r="C51" s="9">
        <v>200</v>
      </c>
      <c r="D51" s="13" t="s">
        <v>69</v>
      </c>
      <c r="E51" s="14">
        <v>30</v>
      </c>
      <c r="F51" s="143">
        <f t="shared" si="1"/>
        <v>6000</v>
      </c>
    </row>
    <row r="52" spans="1:6" s="54" customFormat="1">
      <c r="A52" s="141" t="s">
        <v>523</v>
      </c>
      <c r="B52" s="144" t="s">
        <v>524</v>
      </c>
      <c r="C52" s="9">
        <v>2</v>
      </c>
      <c r="D52" s="13" t="s">
        <v>66</v>
      </c>
      <c r="E52" s="147">
        <v>800</v>
      </c>
      <c r="F52" s="143">
        <f t="shared" si="1"/>
        <v>1600</v>
      </c>
    </row>
    <row r="53" spans="1:6" s="54" customFormat="1">
      <c r="A53" s="141" t="s">
        <v>523</v>
      </c>
      <c r="B53" s="144" t="s">
        <v>525</v>
      </c>
      <c r="C53" s="9">
        <v>10</v>
      </c>
      <c r="D53" s="13" t="s">
        <v>66</v>
      </c>
      <c r="E53" s="147">
        <v>55</v>
      </c>
      <c r="F53" s="143">
        <f t="shared" si="1"/>
        <v>550</v>
      </c>
    </row>
    <row r="54" spans="1:6" s="54" customFormat="1">
      <c r="A54" s="141" t="s">
        <v>526</v>
      </c>
      <c r="B54" s="142" t="s">
        <v>148</v>
      </c>
      <c r="C54" s="148">
        <v>150</v>
      </c>
      <c r="D54" s="10" t="s">
        <v>69</v>
      </c>
      <c r="E54" s="14">
        <v>11</v>
      </c>
      <c r="F54" s="143">
        <f t="shared" si="1"/>
        <v>1650</v>
      </c>
    </row>
    <row r="55" spans="1:6" s="54" customFormat="1">
      <c r="A55" s="141" t="s">
        <v>192</v>
      </c>
      <c r="B55" s="144" t="s">
        <v>193</v>
      </c>
      <c r="C55" s="9">
        <v>20</v>
      </c>
      <c r="D55" s="13" t="s">
        <v>66</v>
      </c>
      <c r="E55" s="14">
        <v>21.8</v>
      </c>
      <c r="F55" s="143">
        <f t="shared" si="1"/>
        <v>436</v>
      </c>
    </row>
    <row r="56" spans="1:6" s="54" customFormat="1">
      <c r="A56" s="141" t="s">
        <v>194</v>
      </c>
      <c r="B56" s="144" t="s">
        <v>195</v>
      </c>
      <c r="C56" s="9">
        <v>5</v>
      </c>
      <c r="D56" s="13" t="s">
        <v>66</v>
      </c>
      <c r="E56" s="14">
        <v>19.7</v>
      </c>
      <c r="F56" s="143">
        <f t="shared" si="1"/>
        <v>98.5</v>
      </c>
    </row>
    <row r="57" spans="1:6" s="54" customFormat="1">
      <c r="A57" s="141" t="s">
        <v>196</v>
      </c>
      <c r="B57" s="144" t="s">
        <v>197</v>
      </c>
      <c r="C57" s="9">
        <v>2</v>
      </c>
      <c r="D57" s="13" t="s">
        <v>66</v>
      </c>
      <c r="E57" s="14">
        <v>33</v>
      </c>
      <c r="F57" s="143">
        <f t="shared" si="1"/>
        <v>66</v>
      </c>
    </row>
    <row r="58" spans="1:6" s="54" customFormat="1">
      <c r="A58" s="141" t="s">
        <v>198</v>
      </c>
      <c r="B58" s="144" t="s">
        <v>199</v>
      </c>
      <c r="C58" s="9">
        <v>50</v>
      </c>
      <c r="D58" s="13" t="s">
        <v>200</v>
      </c>
      <c r="E58" s="14">
        <v>23</v>
      </c>
      <c r="F58" s="143">
        <f t="shared" si="1"/>
        <v>1150</v>
      </c>
    </row>
    <row r="59" spans="1:6" s="54" customFormat="1">
      <c r="A59" s="141" t="s">
        <v>205</v>
      </c>
      <c r="B59" s="145" t="s">
        <v>206</v>
      </c>
      <c r="C59" s="9">
        <v>300</v>
      </c>
      <c r="D59" s="10" t="s">
        <v>69</v>
      </c>
      <c r="E59" s="147">
        <v>18.100000000000001</v>
      </c>
      <c r="F59" s="143">
        <f t="shared" si="1"/>
        <v>5430</v>
      </c>
    </row>
    <row r="60" spans="1:6" s="54" customFormat="1">
      <c r="A60" s="141" t="s">
        <v>207</v>
      </c>
      <c r="B60" s="142" t="s">
        <v>208</v>
      </c>
      <c r="C60" s="9">
        <v>680</v>
      </c>
      <c r="D60" s="10" t="s">
        <v>209</v>
      </c>
      <c r="E60" s="14">
        <v>16.3</v>
      </c>
      <c r="F60" s="143">
        <f t="shared" si="1"/>
        <v>11084</v>
      </c>
    </row>
    <row r="61" spans="1:6" s="54" customFormat="1">
      <c r="A61" s="141" t="s">
        <v>210</v>
      </c>
      <c r="B61" s="142" t="s">
        <v>211</v>
      </c>
      <c r="C61" s="9">
        <v>300</v>
      </c>
      <c r="D61" s="10" t="s">
        <v>209</v>
      </c>
      <c r="E61" s="14">
        <v>16.5</v>
      </c>
      <c r="F61" s="143">
        <f t="shared" si="1"/>
        <v>4950</v>
      </c>
    </row>
    <row r="62" spans="1:6" s="54" customFormat="1">
      <c r="A62" s="141" t="s">
        <v>216</v>
      </c>
      <c r="B62" s="144" t="s">
        <v>217</v>
      </c>
      <c r="C62" s="9">
        <v>100</v>
      </c>
      <c r="D62" s="10" t="s">
        <v>218</v>
      </c>
      <c r="E62" s="147">
        <v>24</v>
      </c>
      <c r="F62" s="143">
        <f t="shared" si="1"/>
        <v>2400</v>
      </c>
    </row>
    <row r="63" spans="1:6" s="54" customFormat="1">
      <c r="A63" s="141" t="s">
        <v>221</v>
      </c>
      <c r="B63" s="144" t="s">
        <v>222</v>
      </c>
      <c r="C63" s="148">
        <v>400</v>
      </c>
      <c r="D63" s="10" t="s">
        <v>200</v>
      </c>
      <c r="E63" s="147">
        <v>4.7</v>
      </c>
      <c r="F63" s="143">
        <f t="shared" si="1"/>
        <v>1880</v>
      </c>
    </row>
    <row r="64" spans="1:6" s="54" customFormat="1">
      <c r="A64" s="141" t="s">
        <v>223</v>
      </c>
      <c r="B64" s="144" t="s">
        <v>224</v>
      </c>
      <c r="C64" s="148">
        <v>1</v>
      </c>
      <c r="D64" s="10" t="s">
        <v>60</v>
      </c>
      <c r="E64" s="147">
        <v>6000</v>
      </c>
      <c r="F64" s="143">
        <f t="shared" si="1"/>
        <v>6000</v>
      </c>
    </row>
    <row r="65" spans="1:6" s="54" customFormat="1">
      <c r="A65" s="141" t="s">
        <v>436</v>
      </c>
      <c r="B65" s="144" t="s">
        <v>509</v>
      </c>
      <c r="C65" s="148">
        <v>1</v>
      </c>
      <c r="D65" s="10" t="s">
        <v>60</v>
      </c>
      <c r="E65" s="147">
        <v>2000</v>
      </c>
      <c r="F65" s="143">
        <f t="shared" si="1"/>
        <v>2000</v>
      </c>
    </row>
    <row r="66" spans="1:6" s="54" customFormat="1">
      <c r="A66" s="141" t="s">
        <v>510</v>
      </c>
      <c r="B66" s="144" t="s">
        <v>511</v>
      </c>
      <c r="C66" s="148">
        <v>1</v>
      </c>
      <c r="D66" s="10" t="s">
        <v>60</v>
      </c>
      <c r="E66" s="147">
        <v>500</v>
      </c>
      <c r="F66" s="143">
        <f t="shared" si="1"/>
        <v>500</v>
      </c>
    </row>
    <row r="67" spans="1:6" s="54" customFormat="1" ht="15.75" thickBot="1">
      <c r="A67" s="294" t="s">
        <v>527</v>
      </c>
      <c r="B67" s="295"/>
      <c r="C67" s="295"/>
      <c r="D67" s="295"/>
      <c r="E67" s="296"/>
      <c r="F67" s="166">
        <f>SUM(F47:F66)</f>
        <v>65000</v>
      </c>
    </row>
    <row r="68" spans="1:6" s="54" customFormat="1" ht="15.75" thickTop="1">
      <c r="A68" s="161"/>
      <c r="B68" s="161"/>
      <c r="C68" s="161"/>
      <c r="D68" s="161"/>
      <c r="E68" s="161"/>
      <c r="F68" s="162"/>
    </row>
    <row r="69" spans="1:6" s="54" customFormat="1">
      <c r="B69" s="151"/>
    </row>
    <row r="70" spans="1:6" s="54" customFormat="1" ht="27.4" customHeight="1" thickBot="1">
      <c r="A70" s="280" t="s">
        <v>528</v>
      </c>
      <c r="B70" s="280"/>
      <c r="C70" s="280"/>
      <c r="D70" s="280"/>
      <c r="E70" s="280"/>
    </row>
    <row r="71" spans="1:6" s="54" customFormat="1" ht="43.15" customHeight="1">
      <c r="A71" s="275" t="s">
        <v>529</v>
      </c>
      <c r="B71" s="275"/>
      <c r="C71">
        <v>1</v>
      </c>
      <c r="D71" s="129">
        <f>F41</f>
        <v>4399999.9979999997</v>
      </c>
      <c r="E71" s="129">
        <f>C71*D71</f>
        <v>4399999.9979999997</v>
      </c>
    </row>
    <row r="72" spans="1:6" s="54" customFormat="1">
      <c r="A72" s="276" t="s">
        <v>530</v>
      </c>
      <c r="B72" s="276"/>
      <c r="C72" s="163">
        <v>1</v>
      </c>
      <c r="D72" s="129">
        <f>F67</f>
        <v>65000</v>
      </c>
      <c r="E72" s="129">
        <f>C72*D72</f>
        <v>65000</v>
      </c>
    </row>
    <row r="73" spans="1:6" s="54" customFormat="1">
      <c r="A73"/>
      <c r="B73"/>
      <c r="C73" s="129"/>
      <c r="D73"/>
      <c r="E73"/>
    </row>
    <row r="74" spans="1:6" s="54" customFormat="1">
      <c r="A74"/>
      <c r="B74"/>
      <c r="C74" s="129"/>
      <c r="D74"/>
      <c r="E74" s="128"/>
    </row>
    <row r="75" spans="1:6" s="54" customFormat="1">
      <c r="A75" t="s">
        <v>487</v>
      </c>
      <c r="B75"/>
      <c r="C75" s="129"/>
      <c r="D75"/>
      <c r="E75">
        <v>30</v>
      </c>
    </row>
    <row r="76" spans="1:6" s="54" customFormat="1">
      <c r="A76" t="s">
        <v>531</v>
      </c>
      <c r="B76"/>
      <c r="C76" s="129"/>
      <c r="D76"/>
      <c r="E76" s="131">
        <f>E72*E75</f>
        <v>1950000</v>
      </c>
    </row>
    <row r="77" spans="1:6">
      <c r="B77"/>
    </row>
    <row r="78" spans="1:6" ht="15.75" thickBot="1">
      <c r="A78" s="132" t="s">
        <v>491</v>
      </c>
      <c r="B78" s="132"/>
      <c r="C78" s="132"/>
      <c r="D78" s="132"/>
      <c r="E78" s="133">
        <f>E71+E76</f>
        <v>6349999.9979999997</v>
      </c>
    </row>
    <row r="79" spans="1:6" ht="15.75" thickTop="1"/>
  </sheetData>
  <mergeCells count="30">
    <mergeCell ref="A37:E37"/>
    <mergeCell ref="A38:E38"/>
    <mergeCell ref="A39:E39"/>
    <mergeCell ref="A40:E40"/>
    <mergeCell ref="A41:E41"/>
    <mergeCell ref="F8:F9"/>
    <mergeCell ref="A1:F1"/>
    <mergeCell ref="A2:F2"/>
    <mergeCell ref="A3:F3"/>
    <mergeCell ref="A4:F4"/>
    <mergeCell ref="A6:F6"/>
    <mergeCell ref="A7:F7"/>
    <mergeCell ref="A36:E36"/>
    <mergeCell ref="A8:A9"/>
    <mergeCell ref="B8:B9"/>
    <mergeCell ref="C8:C9"/>
    <mergeCell ref="D8:D9"/>
    <mergeCell ref="E8:E9"/>
    <mergeCell ref="A70:E70"/>
    <mergeCell ref="A71:B71"/>
    <mergeCell ref="A72:B72"/>
    <mergeCell ref="A67:E67"/>
    <mergeCell ref="A43:F43"/>
    <mergeCell ref="A44:F44"/>
    <mergeCell ref="A45:A46"/>
    <mergeCell ref="B45:B46"/>
    <mergeCell ref="C45:C46"/>
    <mergeCell ref="D45:D46"/>
    <mergeCell ref="E45:E46"/>
    <mergeCell ref="F45:F46"/>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85731-841B-496B-BFA9-2DD9F7BDF9CE}">
  <dimension ref="A1:I167"/>
  <sheetViews>
    <sheetView topLeftCell="A94" zoomScaleNormal="100" workbookViewId="0">
      <selection activeCell="F111" sqref="F111:F118"/>
    </sheetView>
  </sheetViews>
  <sheetFormatPr defaultRowHeight="15"/>
  <cols>
    <col min="1" max="1" width="10" customWidth="1"/>
    <col min="2" max="2" width="48.42578125" style="152" customWidth="1"/>
    <col min="3" max="3" width="10" customWidth="1"/>
    <col min="4" max="4" width="12" bestFit="1" customWidth="1"/>
    <col min="5" max="5" width="17.7109375" customWidth="1"/>
    <col min="6" max="6" width="15.28515625" bestFit="1" customWidth="1"/>
    <col min="9" max="9" width="15.28515625" bestFit="1" customWidth="1"/>
  </cols>
  <sheetData>
    <row r="1" spans="1:6" ht="23.25">
      <c r="A1" s="262" t="s">
        <v>10</v>
      </c>
      <c r="B1" s="262"/>
      <c r="C1" s="262"/>
      <c r="D1" s="262"/>
      <c r="E1" s="262"/>
      <c r="F1" s="262"/>
    </row>
    <row r="2" spans="1:6" ht="20.25" thickBot="1">
      <c r="A2" s="263" t="s">
        <v>9</v>
      </c>
      <c r="B2" s="263"/>
      <c r="C2" s="263"/>
      <c r="D2" s="263"/>
      <c r="E2" s="263"/>
      <c r="F2" s="263"/>
    </row>
    <row r="3" spans="1:6" ht="21" thickTop="1" thickBot="1">
      <c r="A3" s="263" t="s">
        <v>1</v>
      </c>
      <c r="B3" s="263"/>
      <c r="C3" s="263"/>
      <c r="D3" s="263"/>
      <c r="E3" s="263"/>
      <c r="F3" s="263"/>
    </row>
    <row r="4" spans="1:6" ht="16.5" thickTop="1" thickBot="1">
      <c r="A4" s="285" t="s">
        <v>23</v>
      </c>
      <c r="B4" s="285"/>
      <c r="C4" s="285"/>
      <c r="D4" s="285"/>
      <c r="E4" s="285"/>
      <c r="F4" s="285"/>
    </row>
    <row r="6" spans="1:6" s="54" customFormat="1">
      <c r="A6" s="284" t="s">
        <v>715</v>
      </c>
      <c r="B6" s="284"/>
      <c r="C6" s="284"/>
      <c r="D6" s="284"/>
      <c r="E6" s="284"/>
      <c r="F6" s="284"/>
    </row>
    <row r="7" spans="1:6" s="54" customFormat="1" ht="15.75" thickBot="1">
      <c r="A7" s="285" t="s">
        <v>151</v>
      </c>
      <c r="B7" s="285"/>
      <c r="C7" s="285"/>
      <c r="D7" s="285"/>
      <c r="E7" s="285"/>
      <c r="F7" s="285"/>
    </row>
    <row r="8" spans="1:6" s="54" customFormat="1" ht="14.45" customHeight="1">
      <c r="A8" s="286" t="s">
        <v>153</v>
      </c>
      <c r="B8" s="287" t="s">
        <v>154</v>
      </c>
      <c r="C8" s="288" t="s">
        <v>155</v>
      </c>
      <c r="D8" s="289" t="s">
        <v>156</v>
      </c>
      <c r="E8" s="290" t="s">
        <v>432</v>
      </c>
      <c r="F8" s="292" t="s">
        <v>152</v>
      </c>
    </row>
    <row r="9" spans="1:6" s="54" customFormat="1">
      <c r="A9" s="286"/>
      <c r="B9" s="287"/>
      <c r="C9" s="288"/>
      <c r="D9" s="289"/>
      <c r="E9" s="291"/>
      <c r="F9" s="293"/>
    </row>
    <row r="10" spans="1:6" s="54" customFormat="1">
      <c r="A10" s="141" t="s">
        <v>169</v>
      </c>
      <c r="B10" s="150" t="s">
        <v>59</v>
      </c>
      <c r="C10" s="9">
        <v>1</v>
      </c>
      <c r="D10" s="10" t="s">
        <v>60</v>
      </c>
      <c r="E10" s="143">
        <v>240000</v>
      </c>
      <c r="F10" s="143">
        <f t="shared" ref="F10:F73" si="0">E10*C10</f>
        <v>240000</v>
      </c>
    </row>
    <row r="11" spans="1:6" s="54" customFormat="1">
      <c r="A11" s="141" t="s">
        <v>170</v>
      </c>
      <c r="B11" s="150" t="s">
        <v>61</v>
      </c>
      <c r="C11" s="9">
        <v>1</v>
      </c>
      <c r="D11" s="10" t="s">
        <v>60</v>
      </c>
      <c r="E11" s="143">
        <v>3520000</v>
      </c>
      <c r="F11" s="143">
        <f t="shared" si="0"/>
        <v>3520000</v>
      </c>
    </row>
    <row r="12" spans="1:6" s="54" customFormat="1">
      <c r="A12" s="11" t="s">
        <v>62</v>
      </c>
      <c r="B12" s="113" t="s">
        <v>63</v>
      </c>
      <c r="C12" s="9">
        <v>1</v>
      </c>
      <c r="D12" s="10" t="s">
        <v>60</v>
      </c>
      <c r="E12" s="143">
        <v>430000</v>
      </c>
      <c r="F12" s="143">
        <f t="shared" si="0"/>
        <v>430000</v>
      </c>
    </row>
    <row r="13" spans="1:6" s="54" customFormat="1">
      <c r="A13" s="141" t="s">
        <v>171</v>
      </c>
      <c r="B13" s="150" t="s">
        <v>64</v>
      </c>
      <c r="C13" s="9">
        <v>1</v>
      </c>
      <c r="D13" s="10" t="s">
        <v>60</v>
      </c>
      <c r="E13" s="143">
        <v>50000</v>
      </c>
      <c r="F13" s="143">
        <f t="shared" si="0"/>
        <v>50000</v>
      </c>
    </row>
    <row r="14" spans="1:6" s="54" customFormat="1">
      <c r="A14" s="141" t="s">
        <v>172</v>
      </c>
      <c r="B14" s="150" t="s">
        <v>65</v>
      </c>
      <c r="C14" s="9">
        <v>75</v>
      </c>
      <c r="D14" s="10" t="s">
        <v>66</v>
      </c>
      <c r="E14" s="143">
        <v>17.899999999999999</v>
      </c>
      <c r="F14" s="143">
        <f t="shared" si="0"/>
        <v>1342.5</v>
      </c>
    </row>
    <row r="15" spans="1:6" s="54" customFormat="1">
      <c r="A15" s="141" t="s">
        <v>173</v>
      </c>
      <c r="B15" s="150" t="s">
        <v>67</v>
      </c>
      <c r="C15" s="9">
        <v>20</v>
      </c>
      <c r="D15" s="10" t="s">
        <v>66</v>
      </c>
      <c r="E15" s="143">
        <v>17.399999999999999</v>
      </c>
      <c r="F15" s="143">
        <f t="shared" si="0"/>
        <v>348</v>
      </c>
    </row>
    <row r="16" spans="1:6" s="54" customFormat="1">
      <c r="A16" s="141" t="s">
        <v>174</v>
      </c>
      <c r="B16" s="150" t="s">
        <v>68</v>
      </c>
      <c r="C16" s="9">
        <v>200</v>
      </c>
      <c r="D16" s="10" t="s">
        <v>69</v>
      </c>
      <c r="E16" s="143">
        <v>10.5</v>
      </c>
      <c r="F16" s="143">
        <f t="shared" si="0"/>
        <v>2100</v>
      </c>
    </row>
    <row r="17" spans="1:9" s="54" customFormat="1">
      <c r="A17" s="141" t="s">
        <v>70</v>
      </c>
      <c r="B17" s="150" t="s">
        <v>71</v>
      </c>
      <c r="C17" s="9">
        <v>3500</v>
      </c>
      <c r="D17" s="10" t="s">
        <v>69</v>
      </c>
      <c r="E17" s="143">
        <v>21.1</v>
      </c>
      <c r="F17" s="143">
        <f t="shared" si="0"/>
        <v>73850</v>
      </c>
    </row>
    <row r="18" spans="1:9" s="54" customFormat="1">
      <c r="A18" s="141" t="s">
        <v>72</v>
      </c>
      <c r="B18" s="150" t="s">
        <v>73</v>
      </c>
      <c r="C18" s="9">
        <v>8</v>
      </c>
      <c r="D18" s="10" t="s">
        <v>66</v>
      </c>
      <c r="E18" s="143">
        <v>3000</v>
      </c>
      <c r="F18" s="143">
        <f t="shared" si="0"/>
        <v>24000</v>
      </c>
      <c r="I18" s="164"/>
    </row>
    <row r="19" spans="1:9" s="54" customFormat="1">
      <c r="A19" s="141" t="s">
        <v>74</v>
      </c>
      <c r="B19" s="150" t="s">
        <v>75</v>
      </c>
      <c r="C19" s="9">
        <v>50</v>
      </c>
      <c r="D19" s="10" t="s">
        <v>66</v>
      </c>
      <c r="E19" s="143">
        <v>25</v>
      </c>
      <c r="F19" s="143">
        <f t="shared" si="0"/>
        <v>1250</v>
      </c>
    </row>
    <row r="20" spans="1:9" s="54" customFormat="1">
      <c r="A20" s="141" t="s">
        <v>76</v>
      </c>
      <c r="B20" s="150" t="s">
        <v>77</v>
      </c>
      <c r="C20" s="9">
        <v>160000</v>
      </c>
      <c r="D20" s="10" t="s">
        <v>69</v>
      </c>
      <c r="E20" s="143">
        <v>0.6</v>
      </c>
      <c r="F20" s="143">
        <f t="shared" si="0"/>
        <v>96000</v>
      </c>
    </row>
    <row r="21" spans="1:9" s="54" customFormat="1">
      <c r="A21" s="141" t="s">
        <v>78</v>
      </c>
      <c r="B21" s="150" t="s">
        <v>79</v>
      </c>
      <c r="C21" s="9">
        <v>500</v>
      </c>
      <c r="D21" s="10" t="s">
        <v>69</v>
      </c>
      <c r="E21" s="143">
        <v>5.5</v>
      </c>
      <c r="F21" s="143">
        <f t="shared" si="0"/>
        <v>2750</v>
      </c>
    </row>
    <row r="22" spans="1:9" s="54" customFormat="1">
      <c r="A22" s="141" t="s">
        <v>80</v>
      </c>
      <c r="B22" s="150" t="s">
        <v>81</v>
      </c>
      <c r="C22" s="9">
        <v>2000</v>
      </c>
      <c r="D22" s="10" t="s">
        <v>82</v>
      </c>
      <c r="E22" s="143">
        <v>6.2</v>
      </c>
      <c r="F22" s="143">
        <f t="shared" si="0"/>
        <v>12400</v>
      </c>
    </row>
    <row r="23" spans="1:9" s="54" customFormat="1">
      <c r="A23" s="141" t="s">
        <v>83</v>
      </c>
      <c r="B23" s="150" t="s">
        <v>84</v>
      </c>
      <c r="C23" s="9">
        <v>1200</v>
      </c>
      <c r="D23" s="10" t="s">
        <v>82</v>
      </c>
      <c r="E23" s="143">
        <v>15.6</v>
      </c>
      <c r="F23" s="143">
        <f t="shared" si="0"/>
        <v>18720</v>
      </c>
    </row>
    <row r="24" spans="1:9" s="54" customFormat="1">
      <c r="A24" s="141" t="s">
        <v>85</v>
      </c>
      <c r="B24" s="150" t="s">
        <v>86</v>
      </c>
      <c r="C24" s="9">
        <v>300</v>
      </c>
      <c r="D24" s="10" t="s">
        <v>82</v>
      </c>
      <c r="E24" s="143">
        <v>15.6</v>
      </c>
      <c r="F24" s="143">
        <f t="shared" si="0"/>
        <v>4680</v>
      </c>
    </row>
    <row r="25" spans="1:9" s="54" customFormat="1">
      <c r="A25" s="141" t="s">
        <v>87</v>
      </c>
      <c r="B25" s="150" t="s">
        <v>88</v>
      </c>
      <c r="C25" s="9">
        <v>200</v>
      </c>
      <c r="D25" s="10" t="s">
        <v>82</v>
      </c>
      <c r="E25" s="143">
        <v>15.6</v>
      </c>
      <c r="F25" s="143">
        <f t="shared" si="0"/>
        <v>3120</v>
      </c>
    </row>
    <row r="26" spans="1:9" s="54" customFormat="1">
      <c r="A26" s="141" t="s">
        <v>89</v>
      </c>
      <c r="B26" s="150" t="s">
        <v>90</v>
      </c>
      <c r="C26" s="9">
        <v>2</v>
      </c>
      <c r="D26" s="10" t="s">
        <v>66</v>
      </c>
      <c r="E26" s="143">
        <v>375</v>
      </c>
      <c r="F26" s="143">
        <f t="shared" si="0"/>
        <v>750</v>
      </c>
    </row>
    <row r="27" spans="1:9" s="54" customFormat="1">
      <c r="A27" s="141" t="s">
        <v>175</v>
      </c>
      <c r="B27" s="150" t="s">
        <v>91</v>
      </c>
      <c r="C27" s="9">
        <v>1999500</v>
      </c>
      <c r="D27" s="10" t="s">
        <v>92</v>
      </c>
      <c r="E27" s="143">
        <v>4.4000000000000004</v>
      </c>
      <c r="F27" s="143">
        <f>E27*C27+200</f>
        <v>8798000</v>
      </c>
    </row>
    <row r="28" spans="1:9" s="54" customFormat="1">
      <c r="A28" s="141" t="s">
        <v>93</v>
      </c>
      <c r="B28" s="150" t="s">
        <v>94</v>
      </c>
      <c r="C28" s="9">
        <v>2000</v>
      </c>
      <c r="D28" s="10" t="s">
        <v>92</v>
      </c>
      <c r="E28" s="143">
        <v>15</v>
      </c>
      <c r="F28" s="143">
        <f t="shared" si="0"/>
        <v>30000</v>
      </c>
    </row>
    <row r="29" spans="1:9" s="54" customFormat="1">
      <c r="A29" s="141" t="s">
        <v>95</v>
      </c>
      <c r="B29" s="150" t="s">
        <v>96</v>
      </c>
      <c r="C29" s="9">
        <v>30000</v>
      </c>
      <c r="D29" s="10" t="s">
        <v>97</v>
      </c>
      <c r="E29" s="143">
        <v>22.2</v>
      </c>
      <c r="F29" s="143">
        <f t="shared" si="0"/>
        <v>666000</v>
      </c>
    </row>
    <row r="30" spans="1:9" s="54" customFormat="1">
      <c r="A30" s="141" t="s">
        <v>176</v>
      </c>
      <c r="B30" s="150" t="s">
        <v>98</v>
      </c>
      <c r="C30" s="9">
        <v>240000</v>
      </c>
      <c r="D30" s="10" t="s">
        <v>92</v>
      </c>
      <c r="E30" s="143">
        <v>2.5</v>
      </c>
      <c r="F30" s="143">
        <f t="shared" si="0"/>
        <v>600000</v>
      </c>
    </row>
    <row r="31" spans="1:9" s="54" customFormat="1">
      <c r="A31" s="11" t="s">
        <v>99</v>
      </c>
      <c r="B31" s="55" t="s">
        <v>100</v>
      </c>
      <c r="C31" s="9">
        <v>152000</v>
      </c>
      <c r="D31" s="10" t="s">
        <v>101</v>
      </c>
      <c r="E31" s="143">
        <v>21.5</v>
      </c>
      <c r="F31" s="143">
        <f t="shared" si="0"/>
        <v>3268000</v>
      </c>
    </row>
    <row r="32" spans="1:9" s="54" customFormat="1">
      <c r="A32" s="141" t="s">
        <v>102</v>
      </c>
      <c r="B32" s="145" t="s">
        <v>103</v>
      </c>
      <c r="C32" s="9">
        <v>8500</v>
      </c>
      <c r="D32" s="10" t="s">
        <v>101</v>
      </c>
      <c r="E32" s="143">
        <v>21.5</v>
      </c>
      <c r="F32" s="143">
        <f t="shared" si="0"/>
        <v>182750</v>
      </c>
    </row>
    <row r="33" spans="1:6" s="54" customFormat="1">
      <c r="A33" s="141" t="s">
        <v>104</v>
      </c>
      <c r="B33" s="145" t="s">
        <v>105</v>
      </c>
      <c r="C33" s="9">
        <v>5000</v>
      </c>
      <c r="D33" s="10" t="s">
        <v>101</v>
      </c>
      <c r="E33" s="143">
        <v>35.5</v>
      </c>
      <c r="F33" s="143">
        <f t="shared" si="0"/>
        <v>177500</v>
      </c>
    </row>
    <row r="34" spans="1:6" s="54" customFormat="1">
      <c r="A34" s="141" t="s">
        <v>106</v>
      </c>
      <c r="B34" s="146" t="s">
        <v>107</v>
      </c>
      <c r="C34" s="9">
        <v>30000</v>
      </c>
      <c r="D34" s="10" t="s">
        <v>101</v>
      </c>
      <c r="E34" s="143">
        <v>10</v>
      </c>
      <c r="F34" s="143">
        <f t="shared" si="0"/>
        <v>300000</v>
      </c>
    </row>
    <row r="35" spans="1:6" s="54" customFormat="1" ht="25.5">
      <c r="A35" s="141" t="s">
        <v>177</v>
      </c>
      <c r="B35" s="145" t="s">
        <v>178</v>
      </c>
      <c r="C35" s="9">
        <v>187000</v>
      </c>
      <c r="D35" s="10" t="s">
        <v>101</v>
      </c>
      <c r="E35" s="143">
        <v>8</v>
      </c>
      <c r="F35" s="143">
        <f t="shared" si="0"/>
        <v>1496000</v>
      </c>
    </row>
    <row r="36" spans="1:6" s="54" customFormat="1">
      <c r="A36" s="141" t="s">
        <v>108</v>
      </c>
      <c r="B36" s="145" t="s">
        <v>109</v>
      </c>
      <c r="C36" s="9">
        <v>106000</v>
      </c>
      <c r="D36" s="10" t="s">
        <v>101</v>
      </c>
      <c r="E36" s="143">
        <v>90</v>
      </c>
      <c r="F36" s="143">
        <f t="shared" si="0"/>
        <v>9540000</v>
      </c>
    </row>
    <row r="37" spans="1:6" s="54" customFormat="1">
      <c r="A37" s="141" t="s">
        <v>433</v>
      </c>
      <c r="B37" s="145" t="s">
        <v>434</v>
      </c>
      <c r="C37" s="9">
        <v>292000</v>
      </c>
      <c r="D37" s="10" t="s">
        <v>82</v>
      </c>
      <c r="E37" s="143">
        <v>2</v>
      </c>
      <c r="F37" s="143">
        <f t="shared" si="0"/>
        <v>584000</v>
      </c>
    </row>
    <row r="38" spans="1:6" s="54" customFormat="1">
      <c r="A38" s="141" t="s">
        <v>110</v>
      </c>
      <c r="B38" s="145" t="s">
        <v>111</v>
      </c>
      <c r="C38" s="12">
        <f>19.7*2</f>
        <v>39.4</v>
      </c>
      <c r="D38" s="10" t="s">
        <v>112</v>
      </c>
      <c r="E38" s="147">
        <v>1200</v>
      </c>
      <c r="F38" s="143">
        <f t="shared" si="0"/>
        <v>47280</v>
      </c>
    </row>
    <row r="39" spans="1:6" s="54" customFormat="1">
      <c r="A39" s="141" t="s">
        <v>113</v>
      </c>
      <c r="B39" s="145" t="s">
        <v>114</v>
      </c>
      <c r="C39" s="9">
        <v>1500</v>
      </c>
      <c r="D39" s="10" t="s">
        <v>82</v>
      </c>
      <c r="E39" s="147">
        <v>115.1</v>
      </c>
      <c r="F39" s="143">
        <f t="shared" si="0"/>
        <v>172650</v>
      </c>
    </row>
    <row r="40" spans="1:6" s="54" customFormat="1">
      <c r="A40" s="141" t="s">
        <v>179</v>
      </c>
      <c r="B40" s="145" t="s">
        <v>115</v>
      </c>
      <c r="C40" s="9">
        <v>5000</v>
      </c>
      <c r="D40" s="10" t="s">
        <v>92</v>
      </c>
      <c r="E40" s="147">
        <v>25</v>
      </c>
      <c r="F40" s="143">
        <f t="shared" si="0"/>
        <v>125000</v>
      </c>
    </row>
    <row r="41" spans="1:6" s="54" customFormat="1">
      <c r="A41" s="141" t="s">
        <v>180</v>
      </c>
      <c r="B41" s="145" t="s">
        <v>116</v>
      </c>
      <c r="C41" s="9">
        <v>4340</v>
      </c>
      <c r="D41" s="10" t="s">
        <v>92</v>
      </c>
      <c r="E41" s="147">
        <v>65</v>
      </c>
      <c r="F41" s="143">
        <f t="shared" si="0"/>
        <v>282100</v>
      </c>
    </row>
    <row r="42" spans="1:6" s="54" customFormat="1">
      <c r="A42" s="141" t="s">
        <v>181</v>
      </c>
      <c r="B42" s="145" t="s">
        <v>117</v>
      </c>
      <c r="C42" s="9">
        <v>1</v>
      </c>
      <c r="D42" s="10" t="s">
        <v>60</v>
      </c>
      <c r="E42" s="147">
        <v>1900000</v>
      </c>
      <c r="F42" s="143">
        <f t="shared" si="0"/>
        <v>1900000</v>
      </c>
    </row>
    <row r="43" spans="1:6" s="54" customFormat="1">
      <c r="A43" s="141" t="s">
        <v>118</v>
      </c>
      <c r="B43" s="145" t="s">
        <v>435</v>
      </c>
      <c r="C43" s="9">
        <v>1</v>
      </c>
      <c r="D43" s="10" t="s">
        <v>60</v>
      </c>
      <c r="E43" s="147">
        <v>1050000</v>
      </c>
      <c r="F43" s="143">
        <f t="shared" si="0"/>
        <v>1050000</v>
      </c>
    </row>
    <row r="44" spans="1:6" s="54" customFormat="1">
      <c r="A44" s="141" t="s">
        <v>182</v>
      </c>
      <c r="B44" s="145" t="s">
        <v>119</v>
      </c>
      <c r="C44" s="9">
        <v>2</v>
      </c>
      <c r="D44" s="10" t="s">
        <v>66</v>
      </c>
      <c r="E44" s="147">
        <v>1429.6</v>
      </c>
      <c r="F44" s="143">
        <f t="shared" si="0"/>
        <v>2859.2</v>
      </c>
    </row>
    <row r="45" spans="1:6" s="54" customFormat="1">
      <c r="A45" s="141" t="s">
        <v>183</v>
      </c>
      <c r="B45" s="145" t="s">
        <v>120</v>
      </c>
      <c r="C45" s="9">
        <v>1320</v>
      </c>
      <c r="D45" s="10" t="s">
        <v>69</v>
      </c>
      <c r="E45" s="147">
        <v>1000</v>
      </c>
      <c r="F45" s="143">
        <f t="shared" si="0"/>
        <v>1320000</v>
      </c>
    </row>
    <row r="46" spans="1:6" s="54" customFormat="1">
      <c r="A46" s="141" t="s">
        <v>184</v>
      </c>
      <c r="B46" s="145" t="s">
        <v>121</v>
      </c>
      <c r="C46" s="9">
        <f>C45</f>
        <v>1320</v>
      </c>
      <c r="D46" s="13" t="s">
        <v>69</v>
      </c>
      <c r="E46" s="147">
        <v>200</v>
      </c>
      <c r="F46" s="143">
        <f t="shared" si="0"/>
        <v>264000</v>
      </c>
    </row>
    <row r="47" spans="1:6" s="54" customFormat="1" ht="25.5">
      <c r="A47" s="141" t="s">
        <v>122</v>
      </c>
      <c r="B47" s="145" t="s">
        <v>123</v>
      </c>
      <c r="C47" s="9">
        <v>12</v>
      </c>
      <c r="D47" s="10" t="s">
        <v>66</v>
      </c>
      <c r="E47" s="147">
        <v>14000</v>
      </c>
      <c r="F47" s="143">
        <f t="shared" si="0"/>
        <v>168000</v>
      </c>
    </row>
    <row r="48" spans="1:6" s="54" customFormat="1" ht="25.5">
      <c r="A48" s="141" t="s">
        <v>124</v>
      </c>
      <c r="B48" s="145" t="s">
        <v>125</v>
      </c>
      <c r="C48" s="9">
        <f>C47</f>
        <v>12</v>
      </c>
      <c r="D48" s="13" t="s">
        <v>66</v>
      </c>
      <c r="E48" s="147">
        <v>2000</v>
      </c>
      <c r="F48" s="143">
        <f t="shared" si="0"/>
        <v>24000</v>
      </c>
    </row>
    <row r="49" spans="1:6" s="54" customFormat="1">
      <c r="A49" s="141" t="s">
        <v>126</v>
      </c>
      <c r="B49" s="145" t="s">
        <v>127</v>
      </c>
      <c r="C49" s="9">
        <v>880</v>
      </c>
      <c r="D49" s="10" t="s">
        <v>69</v>
      </c>
      <c r="E49" s="147">
        <v>1400</v>
      </c>
      <c r="F49" s="143">
        <f t="shared" si="0"/>
        <v>1232000</v>
      </c>
    </row>
    <row r="50" spans="1:6" s="54" customFormat="1">
      <c r="A50" s="141" t="s">
        <v>128</v>
      </c>
      <c r="B50" s="145" t="s">
        <v>129</v>
      </c>
      <c r="C50" s="9">
        <f>C49</f>
        <v>880</v>
      </c>
      <c r="D50" s="13" t="s">
        <v>69</v>
      </c>
      <c r="E50" s="147">
        <v>300</v>
      </c>
      <c r="F50" s="143">
        <f t="shared" si="0"/>
        <v>264000</v>
      </c>
    </row>
    <row r="51" spans="1:6" s="54" customFormat="1" ht="25.5">
      <c r="A51" s="141" t="s">
        <v>130</v>
      </c>
      <c r="B51" s="145" t="s">
        <v>131</v>
      </c>
      <c r="C51" s="9">
        <v>8</v>
      </c>
      <c r="D51" s="10" t="s">
        <v>66</v>
      </c>
      <c r="E51" s="147">
        <v>25000</v>
      </c>
      <c r="F51" s="143">
        <f t="shared" si="0"/>
        <v>200000</v>
      </c>
    </row>
    <row r="52" spans="1:6" s="54" customFormat="1" ht="25.5">
      <c r="A52" s="141" t="s">
        <v>132</v>
      </c>
      <c r="B52" s="145" t="s">
        <v>133</v>
      </c>
      <c r="C52" s="9">
        <f>C51</f>
        <v>8</v>
      </c>
      <c r="D52" s="13" t="s">
        <v>66</v>
      </c>
      <c r="E52" s="147">
        <v>4000</v>
      </c>
      <c r="F52" s="143">
        <f t="shared" si="0"/>
        <v>32000</v>
      </c>
    </row>
    <row r="53" spans="1:6" s="54" customFormat="1">
      <c r="A53" s="141" t="s">
        <v>185</v>
      </c>
      <c r="B53" s="145" t="s">
        <v>134</v>
      </c>
      <c r="C53" s="9">
        <v>8</v>
      </c>
      <c r="D53" s="13" t="s">
        <v>66</v>
      </c>
      <c r="E53" s="147">
        <v>27000</v>
      </c>
      <c r="F53" s="143">
        <f t="shared" si="0"/>
        <v>216000</v>
      </c>
    </row>
    <row r="54" spans="1:6" s="54" customFormat="1">
      <c r="A54" s="141" t="s">
        <v>186</v>
      </c>
      <c r="B54" s="145" t="s">
        <v>135</v>
      </c>
      <c r="C54" s="9">
        <v>5</v>
      </c>
      <c r="D54" s="13" t="s">
        <v>66</v>
      </c>
      <c r="E54" s="147">
        <v>30000</v>
      </c>
      <c r="F54" s="143">
        <f t="shared" si="0"/>
        <v>150000</v>
      </c>
    </row>
    <row r="55" spans="1:6" s="54" customFormat="1">
      <c r="A55" s="141" t="s">
        <v>187</v>
      </c>
      <c r="B55" s="145" t="s">
        <v>136</v>
      </c>
      <c r="C55" s="9">
        <v>210000</v>
      </c>
      <c r="D55" s="13" t="s">
        <v>69</v>
      </c>
      <c r="E55" s="147">
        <v>2.2999999999999998</v>
      </c>
      <c r="F55" s="143">
        <f t="shared" si="0"/>
        <v>482999.99999999994</v>
      </c>
    </row>
    <row r="56" spans="1:6" s="54" customFormat="1">
      <c r="A56" s="141" t="s">
        <v>137</v>
      </c>
      <c r="B56" s="145" t="s">
        <v>138</v>
      </c>
      <c r="C56" s="9">
        <f>75000*2</f>
        <v>150000</v>
      </c>
      <c r="D56" s="13" t="s">
        <v>69</v>
      </c>
      <c r="E56" s="147">
        <v>1.1000000000000001</v>
      </c>
      <c r="F56" s="143">
        <f t="shared" si="0"/>
        <v>165000</v>
      </c>
    </row>
    <row r="57" spans="1:6" s="54" customFormat="1">
      <c r="A57" s="141" t="s">
        <v>139</v>
      </c>
      <c r="B57" s="145" t="s">
        <v>140</v>
      </c>
      <c r="C57" s="9">
        <v>700</v>
      </c>
      <c r="D57" s="13" t="s">
        <v>66</v>
      </c>
      <c r="E57" s="147">
        <v>160</v>
      </c>
      <c r="F57" s="143">
        <f t="shared" si="0"/>
        <v>112000</v>
      </c>
    </row>
    <row r="58" spans="1:6" s="54" customFormat="1">
      <c r="A58" s="141" t="s">
        <v>141</v>
      </c>
      <c r="B58" s="145" t="s">
        <v>142</v>
      </c>
      <c r="C58" s="9">
        <v>220</v>
      </c>
      <c r="D58" s="13" t="s">
        <v>66</v>
      </c>
      <c r="E58" s="147">
        <v>190</v>
      </c>
      <c r="F58" s="143">
        <f t="shared" si="0"/>
        <v>41800</v>
      </c>
    </row>
    <row r="59" spans="1:6" s="54" customFormat="1">
      <c r="A59" s="141" t="s">
        <v>143</v>
      </c>
      <c r="B59" s="145" t="s">
        <v>144</v>
      </c>
      <c r="C59" s="9">
        <v>2</v>
      </c>
      <c r="D59" s="13" t="s">
        <v>66</v>
      </c>
      <c r="E59" s="147">
        <v>600</v>
      </c>
      <c r="F59" s="143">
        <f t="shared" si="0"/>
        <v>1200</v>
      </c>
    </row>
    <row r="60" spans="1:6" s="54" customFormat="1">
      <c r="A60" s="141" t="s">
        <v>145</v>
      </c>
      <c r="B60" s="145" t="s">
        <v>146</v>
      </c>
      <c r="C60" s="9">
        <v>2</v>
      </c>
      <c r="D60" s="13" t="s">
        <v>66</v>
      </c>
      <c r="E60" s="147">
        <v>300</v>
      </c>
      <c r="F60" s="143">
        <f t="shared" si="0"/>
        <v>600</v>
      </c>
    </row>
    <row r="61" spans="1:6" s="54" customFormat="1">
      <c r="A61" s="141" t="s">
        <v>147</v>
      </c>
      <c r="B61" s="150" t="s">
        <v>148</v>
      </c>
      <c r="C61" s="148">
        <v>3000</v>
      </c>
      <c r="D61" s="10" t="s">
        <v>69</v>
      </c>
      <c r="E61" s="14">
        <v>26.5</v>
      </c>
      <c r="F61" s="143">
        <f t="shared" si="0"/>
        <v>79500</v>
      </c>
    </row>
    <row r="62" spans="1:6" s="54" customFormat="1" ht="14.45" customHeight="1">
      <c r="A62" s="141" t="s">
        <v>149</v>
      </c>
      <c r="B62" s="150" t="s">
        <v>150</v>
      </c>
      <c r="C62" s="148">
        <v>40</v>
      </c>
      <c r="D62" s="10" t="s">
        <v>69</v>
      </c>
      <c r="E62" s="14">
        <v>25</v>
      </c>
      <c r="F62" s="143">
        <f t="shared" si="0"/>
        <v>1000</v>
      </c>
    </row>
    <row r="63" spans="1:6" s="54" customFormat="1" ht="14.45" customHeight="1">
      <c r="A63" s="141" t="s">
        <v>188</v>
      </c>
      <c r="B63" s="150" t="s">
        <v>189</v>
      </c>
      <c r="C63" s="9">
        <v>60</v>
      </c>
      <c r="D63" s="10" t="s">
        <v>66</v>
      </c>
      <c r="E63" s="14">
        <v>60</v>
      </c>
      <c r="F63" s="143">
        <f t="shared" si="0"/>
        <v>3600</v>
      </c>
    </row>
    <row r="64" spans="1:6" s="54" customFormat="1" ht="25.9" customHeight="1">
      <c r="A64" s="141" t="s">
        <v>190</v>
      </c>
      <c r="B64" s="145" t="s">
        <v>191</v>
      </c>
      <c r="C64" s="9">
        <v>35</v>
      </c>
      <c r="D64" s="13" t="s">
        <v>66</v>
      </c>
      <c r="E64" s="14">
        <v>75</v>
      </c>
      <c r="F64" s="143">
        <f t="shared" si="0"/>
        <v>2625</v>
      </c>
    </row>
    <row r="65" spans="1:6" s="54" customFormat="1" ht="25.5">
      <c r="A65" s="141" t="s">
        <v>192</v>
      </c>
      <c r="B65" s="145" t="s">
        <v>193</v>
      </c>
      <c r="C65" s="9">
        <v>580</v>
      </c>
      <c r="D65" s="13" t="s">
        <v>66</v>
      </c>
      <c r="E65" s="14">
        <v>21.8</v>
      </c>
      <c r="F65" s="143">
        <f t="shared" si="0"/>
        <v>12644</v>
      </c>
    </row>
    <row r="66" spans="1:6" s="54" customFormat="1">
      <c r="A66" s="141" t="s">
        <v>194</v>
      </c>
      <c r="B66" s="145" t="s">
        <v>195</v>
      </c>
      <c r="C66" s="9">
        <v>25</v>
      </c>
      <c r="D66" s="13" t="s">
        <v>66</v>
      </c>
      <c r="E66" s="14">
        <v>19.7</v>
      </c>
      <c r="F66" s="143">
        <f t="shared" si="0"/>
        <v>492.5</v>
      </c>
    </row>
    <row r="67" spans="1:6" s="54" customFormat="1">
      <c r="A67" s="141" t="s">
        <v>196</v>
      </c>
      <c r="B67" s="145" t="s">
        <v>197</v>
      </c>
      <c r="C67" s="9">
        <v>300</v>
      </c>
      <c r="D67" s="13" t="s">
        <v>66</v>
      </c>
      <c r="E67" s="14">
        <v>33</v>
      </c>
      <c r="F67" s="143">
        <f t="shared" si="0"/>
        <v>9900</v>
      </c>
    </row>
    <row r="68" spans="1:6" s="54" customFormat="1" ht="25.5">
      <c r="A68" s="141" t="s">
        <v>198</v>
      </c>
      <c r="B68" s="145" t="s">
        <v>199</v>
      </c>
      <c r="C68" s="9">
        <v>2300</v>
      </c>
      <c r="D68" s="13" t="s">
        <v>200</v>
      </c>
      <c r="E68" s="14">
        <v>23</v>
      </c>
      <c r="F68" s="143">
        <f t="shared" si="0"/>
        <v>52900</v>
      </c>
    </row>
    <row r="69" spans="1:6" s="54" customFormat="1">
      <c r="A69" s="141" t="s">
        <v>201</v>
      </c>
      <c r="B69" s="145" t="s">
        <v>202</v>
      </c>
      <c r="C69" s="9">
        <v>5</v>
      </c>
      <c r="D69" s="10" t="s">
        <v>66</v>
      </c>
      <c r="E69" s="147">
        <v>94</v>
      </c>
      <c r="F69" s="143">
        <f t="shared" si="0"/>
        <v>470</v>
      </c>
    </row>
    <row r="70" spans="1:6" s="54" customFormat="1">
      <c r="A70" s="141" t="s">
        <v>203</v>
      </c>
      <c r="B70" s="145" t="s">
        <v>204</v>
      </c>
      <c r="C70" s="9">
        <v>14000</v>
      </c>
      <c r="D70" s="10" t="s">
        <v>69</v>
      </c>
      <c r="E70" s="147">
        <v>4</v>
      </c>
      <c r="F70" s="143">
        <f t="shared" si="0"/>
        <v>56000</v>
      </c>
    </row>
    <row r="71" spans="1:6" s="54" customFormat="1">
      <c r="A71" s="141" t="s">
        <v>205</v>
      </c>
      <c r="B71" s="145" t="s">
        <v>206</v>
      </c>
      <c r="C71" s="9">
        <v>400</v>
      </c>
      <c r="D71" s="10" t="s">
        <v>69</v>
      </c>
      <c r="E71" s="147">
        <v>23</v>
      </c>
      <c r="F71" s="143">
        <f t="shared" si="0"/>
        <v>9200</v>
      </c>
    </row>
    <row r="72" spans="1:6" s="54" customFormat="1">
      <c r="A72" s="141" t="s">
        <v>207</v>
      </c>
      <c r="B72" s="150" t="s">
        <v>208</v>
      </c>
      <c r="C72" s="9">
        <v>640</v>
      </c>
      <c r="D72" s="10" t="s">
        <v>209</v>
      </c>
      <c r="E72" s="14">
        <v>16.3</v>
      </c>
      <c r="F72" s="143">
        <f t="shared" si="0"/>
        <v>10432</v>
      </c>
    </row>
    <row r="73" spans="1:6" s="54" customFormat="1">
      <c r="A73" s="141" t="s">
        <v>210</v>
      </c>
      <c r="B73" s="150" t="s">
        <v>211</v>
      </c>
      <c r="C73" s="9">
        <v>250</v>
      </c>
      <c r="D73" s="10" t="s">
        <v>209</v>
      </c>
      <c r="E73" s="14">
        <v>16.5</v>
      </c>
      <c r="F73" s="143">
        <f t="shared" si="0"/>
        <v>4125</v>
      </c>
    </row>
    <row r="74" spans="1:6" s="54" customFormat="1" ht="25.5">
      <c r="A74" s="141" t="s">
        <v>212</v>
      </c>
      <c r="B74" s="145" t="s">
        <v>213</v>
      </c>
      <c r="C74" s="9">
        <f>C70</f>
        <v>14000</v>
      </c>
      <c r="D74" s="13" t="s">
        <v>69</v>
      </c>
      <c r="E74" s="14">
        <v>1.1000000000000001</v>
      </c>
      <c r="F74" s="143">
        <f t="shared" ref="F74:F109" si="1">E74*C74</f>
        <v>15400.000000000002</v>
      </c>
    </row>
    <row r="75" spans="1:6" s="54" customFormat="1" ht="25.5">
      <c r="A75" s="141" t="s">
        <v>214</v>
      </c>
      <c r="B75" s="145" t="s">
        <v>215</v>
      </c>
      <c r="C75" s="9">
        <f>C71</f>
        <v>400</v>
      </c>
      <c r="D75" s="13" t="s">
        <v>69</v>
      </c>
      <c r="E75" s="14">
        <v>6.4</v>
      </c>
      <c r="F75" s="143">
        <f t="shared" si="1"/>
        <v>2560</v>
      </c>
    </row>
    <row r="76" spans="1:6" s="54" customFormat="1">
      <c r="A76" s="141" t="s">
        <v>216</v>
      </c>
      <c r="B76" s="145" t="s">
        <v>217</v>
      </c>
      <c r="C76" s="9">
        <v>24000</v>
      </c>
      <c r="D76" s="10" t="s">
        <v>218</v>
      </c>
      <c r="E76" s="147">
        <v>24</v>
      </c>
      <c r="F76" s="143">
        <f t="shared" si="1"/>
        <v>576000</v>
      </c>
    </row>
    <row r="77" spans="1:6" s="54" customFormat="1">
      <c r="A77" s="141" t="s">
        <v>219</v>
      </c>
      <c r="B77" s="145" t="s">
        <v>220</v>
      </c>
      <c r="C77" s="9">
        <v>4800</v>
      </c>
      <c r="D77" s="10" t="s">
        <v>218</v>
      </c>
      <c r="E77" s="147">
        <v>40</v>
      </c>
      <c r="F77" s="143">
        <f t="shared" si="1"/>
        <v>192000</v>
      </c>
    </row>
    <row r="78" spans="1:6" s="54" customFormat="1">
      <c r="A78" s="141" t="s">
        <v>221</v>
      </c>
      <c r="B78" s="145" t="s">
        <v>222</v>
      </c>
      <c r="C78" s="148">
        <v>1500</v>
      </c>
      <c r="D78" s="10" t="s">
        <v>200</v>
      </c>
      <c r="E78" s="147">
        <v>4.7</v>
      </c>
      <c r="F78" s="143">
        <f t="shared" si="1"/>
        <v>7050</v>
      </c>
    </row>
    <row r="79" spans="1:6" s="54" customFormat="1">
      <c r="A79" s="141" t="s">
        <v>223</v>
      </c>
      <c r="B79" s="145" t="s">
        <v>224</v>
      </c>
      <c r="C79" s="9">
        <v>1</v>
      </c>
      <c r="D79" s="10" t="s">
        <v>60</v>
      </c>
      <c r="E79" s="147">
        <v>30000</v>
      </c>
      <c r="F79" s="143">
        <f t="shared" si="1"/>
        <v>30000</v>
      </c>
    </row>
    <row r="80" spans="1:6" s="54" customFormat="1">
      <c r="A80" s="141" t="s">
        <v>225</v>
      </c>
      <c r="B80" s="145" t="s">
        <v>226</v>
      </c>
      <c r="C80" s="9">
        <v>18</v>
      </c>
      <c r="D80" s="10" t="s">
        <v>66</v>
      </c>
      <c r="E80" s="147">
        <v>127.9</v>
      </c>
      <c r="F80" s="143">
        <f t="shared" si="1"/>
        <v>2302.2000000000003</v>
      </c>
    </row>
    <row r="81" spans="1:6" s="54" customFormat="1">
      <c r="A81" s="141" t="s">
        <v>227</v>
      </c>
      <c r="B81" s="145" t="s">
        <v>228</v>
      </c>
      <c r="C81" s="9">
        <f>21*2</f>
        <v>42</v>
      </c>
      <c r="D81" s="10" t="s">
        <v>112</v>
      </c>
      <c r="E81" s="147">
        <v>1000</v>
      </c>
      <c r="F81" s="143">
        <f t="shared" si="1"/>
        <v>42000</v>
      </c>
    </row>
    <row r="82" spans="1:6" s="54" customFormat="1">
      <c r="A82" s="141" t="s">
        <v>436</v>
      </c>
      <c r="B82" s="145" t="s">
        <v>437</v>
      </c>
      <c r="C82" s="9">
        <v>1</v>
      </c>
      <c r="D82" s="10" t="s">
        <v>60</v>
      </c>
      <c r="E82" s="147">
        <v>450000</v>
      </c>
      <c r="F82" s="143">
        <f t="shared" si="1"/>
        <v>450000</v>
      </c>
    </row>
    <row r="83" spans="1:6" s="54" customFormat="1">
      <c r="A83" s="141" t="s">
        <v>438</v>
      </c>
      <c r="B83" s="145" t="s">
        <v>439</v>
      </c>
      <c r="C83" s="9">
        <v>2</v>
      </c>
      <c r="D83" s="10" t="s">
        <v>66</v>
      </c>
      <c r="E83" s="147">
        <v>15000</v>
      </c>
      <c r="F83" s="143">
        <f t="shared" si="1"/>
        <v>30000</v>
      </c>
    </row>
    <row r="84" spans="1:6" s="54" customFormat="1">
      <c r="A84" s="141" t="s">
        <v>440</v>
      </c>
      <c r="B84" s="145" t="s">
        <v>441</v>
      </c>
      <c r="C84" s="9">
        <v>3</v>
      </c>
      <c r="D84" s="10" t="s">
        <v>66</v>
      </c>
      <c r="E84" s="147">
        <v>150000</v>
      </c>
      <c r="F84" s="143">
        <f t="shared" si="1"/>
        <v>450000</v>
      </c>
    </row>
    <row r="85" spans="1:6" s="54" customFormat="1">
      <c r="A85" s="141" t="s">
        <v>229</v>
      </c>
      <c r="B85" s="145" t="s">
        <v>230</v>
      </c>
      <c r="C85" s="9">
        <v>11400</v>
      </c>
      <c r="D85" s="10" t="s">
        <v>69</v>
      </c>
      <c r="E85" s="147">
        <v>27.3</v>
      </c>
      <c r="F85" s="143">
        <f t="shared" si="1"/>
        <v>311220</v>
      </c>
    </row>
    <row r="86" spans="1:6" s="54" customFormat="1">
      <c r="A86" s="141" t="s">
        <v>231</v>
      </c>
      <c r="B86" s="145" t="s">
        <v>232</v>
      </c>
      <c r="C86" s="9">
        <v>200</v>
      </c>
      <c r="D86" s="10" t="s">
        <v>69</v>
      </c>
      <c r="E86" s="147">
        <v>27.7</v>
      </c>
      <c r="F86" s="143">
        <f t="shared" si="1"/>
        <v>5540</v>
      </c>
    </row>
    <row r="87" spans="1:6" s="54" customFormat="1">
      <c r="A87" s="141" t="s">
        <v>233</v>
      </c>
      <c r="B87" s="145" t="s">
        <v>234</v>
      </c>
      <c r="C87" s="9">
        <v>300</v>
      </c>
      <c r="D87" s="10" t="s">
        <v>82</v>
      </c>
      <c r="E87" s="147">
        <v>90.5</v>
      </c>
      <c r="F87" s="143">
        <f t="shared" si="1"/>
        <v>27150</v>
      </c>
    </row>
    <row r="88" spans="1:6" s="54" customFormat="1">
      <c r="A88" s="141" t="s">
        <v>235</v>
      </c>
      <c r="B88" s="145" t="s">
        <v>236</v>
      </c>
      <c r="C88" s="9">
        <v>50000</v>
      </c>
      <c r="D88" s="13" t="s">
        <v>200</v>
      </c>
      <c r="E88" s="147">
        <v>6.4</v>
      </c>
      <c r="F88" s="143">
        <f t="shared" si="1"/>
        <v>320000</v>
      </c>
    </row>
    <row r="89" spans="1:6" s="54" customFormat="1">
      <c r="A89" s="141" t="s">
        <v>237</v>
      </c>
      <c r="B89" s="145" t="s">
        <v>238</v>
      </c>
      <c r="C89" s="9">
        <v>800</v>
      </c>
      <c r="D89" s="13" t="s">
        <v>200</v>
      </c>
      <c r="E89" s="147">
        <v>65</v>
      </c>
      <c r="F89" s="143">
        <f t="shared" si="1"/>
        <v>52000</v>
      </c>
    </row>
    <row r="90" spans="1:6" s="54" customFormat="1">
      <c r="A90" s="11" t="s">
        <v>239</v>
      </c>
      <c r="B90" s="114" t="s">
        <v>240</v>
      </c>
      <c r="C90" s="9">
        <v>7</v>
      </c>
      <c r="D90" s="10" t="s">
        <v>66</v>
      </c>
      <c r="E90" s="14">
        <v>3000</v>
      </c>
      <c r="F90" s="143">
        <f t="shared" si="1"/>
        <v>21000</v>
      </c>
    </row>
    <row r="91" spans="1:6" s="54" customFormat="1">
      <c r="A91" s="11" t="s">
        <v>241</v>
      </c>
      <c r="B91" s="114" t="s">
        <v>242</v>
      </c>
      <c r="C91" s="9">
        <v>5</v>
      </c>
      <c r="D91" s="10" t="s">
        <v>66</v>
      </c>
      <c r="E91" s="14">
        <v>7400</v>
      </c>
      <c r="F91" s="143">
        <f t="shared" si="1"/>
        <v>37000</v>
      </c>
    </row>
    <row r="92" spans="1:6" s="54" customFormat="1">
      <c r="A92" s="141" t="s">
        <v>243</v>
      </c>
      <c r="B92" s="145" t="s">
        <v>244</v>
      </c>
      <c r="C92" s="15">
        <f>400+1200+400</f>
        <v>2000</v>
      </c>
      <c r="D92" s="13" t="s">
        <v>92</v>
      </c>
      <c r="E92" s="147">
        <v>310</v>
      </c>
      <c r="F92" s="143">
        <f t="shared" si="1"/>
        <v>620000</v>
      </c>
    </row>
    <row r="93" spans="1:6" s="54" customFormat="1">
      <c r="A93" s="141" t="s">
        <v>245</v>
      </c>
      <c r="B93" s="145" t="s">
        <v>246</v>
      </c>
      <c r="C93" s="9">
        <v>9000</v>
      </c>
      <c r="D93" s="10" t="s">
        <v>247</v>
      </c>
      <c r="E93" s="147">
        <v>25</v>
      </c>
      <c r="F93" s="143">
        <f t="shared" si="1"/>
        <v>225000</v>
      </c>
    </row>
    <row r="94" spans="1:6" s="54" customFormat="1">
      <c r="A94" s="141" t="s">
        <v>248</v>
      </c>
      <c r="B94" s="145" t="s">
        <v>249</v>
      </c>
      <c r="C94" s="9">
        <v>120</v>
      </c>
      <c r="D94" s="10" t="s">
        <v>247</v>
      </c>
      <c r="E94" s="147">
        <v>260</v>
      </c>
      <c r="F94" s="143">
        <f t="shared" si="1"/>
        <v>31200</v>
      </c>
    </row>
    <row r="95" spans="1:6" s="54" customFormat="1">
      <c r="A95" s="141" t="s">
        <v>250</v>
      </c>
      <c r="B95" s="145" t="s">
        <v>251</v>
      </c>
      <c r="C95" s="9">
        <v>300</v>
      </c>
      <c r="D95" s="10" t="s">
        <v>101</v>
      </c>
      <c r="E95" s="147">
        <v>1000</v>
      </c>
      <c r="F95" s="143">
        <f t="shared" si="1"/>
        <v>300000</v>
      </c>
    </row>
    <row r="96" spans="1:6" s="54" customFormat="1">
      <c r="A96" s="141" t="s">
        <v>252</v>
      </c>
      <c r="B96" s="145" t="s">
        <v>253</v>
      </c>
      <c r="C96" s="9">
        <v>800</v>
      </c>
      <c r="D96" s="10" t="s">
        <v>101</v>
      </c>
      <c r="E96" s="147">
        <v>252.8</v>
      </c>
      <c r="F96" s="143">
        <f t="shared" si="1"/>
        <v>202240</v>
      </c>
    </row>
    <row r="97" spans="1:6" s="54" customFormat="1">
      <c r="A97" s="141" t="s">
        <v>254</v>
      </c>
      <c r="B97" s="145" t="s">
        <v>255</v>
      </c>
      <c r="C97" s="9">
        <v>75000</v>
      </c>
      <c r="D97" s="10" t="s">
        <v>82</v>
      </c>
      <c r="E97" s="147">
        <v>2.6</v>
      </c>
      <c r="F97" s="143">
        <f t="shared" si="1"/>
        <v>195000</v>
      </c>
    </row>
    <row r="98" spans="1:6" s="54" customFormat="1">
      <c r="A98" s="11" t="s">
        <v>256</v>
      </c>
      <c r="B98" s="113" t="s">
        <v>257</v>
      </c>
      <c r="C98" s="9">
        <v>50000</v>
      </c>
      <c r="D98" s="10" t="s">
        <v>69</v>
      </c>
      <c r="E98" s="147">
        <v>5.4</v>
      </c>
      <c r="F98" s="143">
        <f t="shared" si="1"/>
        <v>270000</v>
      </c>
    </row>
    <row r="99" spans="1:6" s="54" customFormat="1">
      <c r="A99" s="141" t="s">
        <v>258</v>
      </c>
      <c r="B99" s="145" t="s">
        <v>259</v>
      </c>
      <c r="C99" s="9">
        <v>100</v>
      </c>
      <c r="D99" s="10" t="s">
        <v>92</v>
      </c>
      <c r="E99" s="147">
        <v>95</v>
      </c>
      <c r="F99" s="143">
        <f t="shared" si="1"/>
        <v>9500</v>
      </c>
    </row>
    <row r="100" spans="1:6" s="54" customFormat="1" ht="25.5">
      <c r="A100" s="141" t="s">
        <v>260</v>
      </c>
      <c r="B100" s="145" t="s">
        <v>261</v>
      </c>
      <c r="C100" s="9">
        <v>12</v>
      </c>
      <c r="D100" s="10" t="s">
        <v>66</v>
      </c>
      <c r="E100" s="147">
        <v>165</v>
      </c>
      <c r="F100" s="143">
        <f t="shared" si="1"/>
        <v>1980</v>
      </c>
    </row>
    <row r="101" spans="1:6" s="54" customFormat="1">
      <c r="A101" s="141" t="s">
        <v>262</v>
      </c>
      <c r="B101" s="145" t="s">
        <v>263</v>
      </c>
      <c r="C101" s="15">
        <v>4000</v>
      </c>
      <c r="D101" s="13" t="s">
        <v>82</v>
      </c>
      <c r="E101" s="149">
        <v>5</v>
      </c>
      <c r="F101" s="143">
        <f t="shared" si="1"/>
        <v>20000</v>
      </c>
    </row>
    <row r="102" spans="1:6" s="54" customFormat="1">
      <c r="A102" s="141" t="s">
        <v>264</v>
      </c>
      <c r="B102" s="145" t="s">
        <v>265</v>
      </c>
      <c r="C102" s="15">
        <v>500000</v>
      </c>
      <c r="D102" s="13" t="s">
        <v>82</v>
      </c>
      <c r="E102" s="149">
        <v>3</v>
      </c>
      <c r="F102" s="143">
        <f t="shared" si="1"/>
        <v>1500000</v>
      </c>
    </row>
    <row r="103" spans="1:6" s="54" customFormat="1">
      <c r="A103" s="141" t="s">
        <v>266</v>
      </c>
      <c r="B103" s="145" t="s">
        <v>267</v>
      </c>
      <c r="C103" s="15">
        <v>6500</v>
      </c>
      <c r="D103" s="13" t="s">
        <v>82</v>
      </c>
      <c r="E103" s="149">
        <v>4</v>
      </c>
      <c r="F103" s="143">
        <f t="shared" si="1"/>
        <v>26000</v>
      </c>
    </row>
    <row r="104" spans="1:6" s="54" customFormat="1">
      <c r="A104" s="141" t="s">
        <v>442</v>
      </c>
      <c r="B104" s="145" t="s">
        <v>443</v>
      </c>
      <c r="C104" s="15">
        <v>6500</v>
      </c>
      <c r="D104" s="13" t="s">
        <v>82</v>
      </c>
      <c r="E104" s="149">
        <v>4.0999999999999996</v>
      </c>
      <c r="F104" s="143">
        <f t="shared" si="1"/>
        <v>26649.999999999996</v>
      </c>
    </row>
    <row r="105" spans="1:6" s="54" customFormat="1">
      <c r="A105" s="141" t="s">
        <v>268</v>
      </c>
      <c r="B105" s="145" t="s">
        <v>269</v>
      </c>
      <c r="C105" s="15">
        <v>25</v>
      </c>
      <c r="D105" s="13" t="s">
        <v>66</v>
      </c>
      <c r="E105" s="149">
        <v>246.7</v>
      </c>
      <c r="F105" s="143">
        <f t="shared" si="1"/>
        <v>6167.5</v>
      </c>
    </row>
    <row r="106" spans="1:6" s="54" customFormat="1">
      <c r="A106" s="141" t="s">
        <v>270</v>
      </c>
      <c r="B106" s="145" t="s">
        <v>271</v>
      </c>
      <c r="C106" s="15">
        <v>5000</v>
      </c>
      <c r="D106" s="13" t="s">
        <v>69</v>
      </c>
      <c r="E106" s="149">
        <v>6.4</v>
      </c>
      <c r="F106" s="143">
        <f t="shared" si="1"/>
        <v>32000</v>
      </c>
    </row>
    <row r="107" spans="1:6" s="54" customFormat="1">
      <c r="A107" s="141" t="s">
        <v>272</v>
      </c>
      <c r="B107" s="145" t="s">
        <v>273</v>
      </c>
      <c r="C107" s="9">
        <v>50000</v>
      </c>
      <c r="D107" s="10" t="s">
        <v>101</v>
      </c>
      <c r="E107" s="143">
        <v>8</v>
      </c>
      <c r="F107" s="143">
        <f t="shared" si="1"/>
        <v>400000</v>
      </c>
    </row>
    <row r="108" spans="1:6" s="54" customFormat="1">
      <c r="A108" s="11" t="s">
        <v>719</v>
      </c>
      <c r="B108" s="11" t="s">
        <v>720</v>
      </c>
      <c r="C108" s="15">
        <v>1</v>
      </c>
      <c r="D108" s="10" t="s">
        <v>60</v>
      </c>
      <c r="E108" s="147">
        <v>80000</v>
      </c>
      <c r="F108" s="143">
        <f t="shared" si="1"/>
        <v>80000</v>
      </c>
    </row>
    <row r="109" spans="1:6" s="54" customFormat="1">
      <c r="A109" s="11" t="s">
        <v>274</v>
      </c>
      <c r="B109" s="113" t="s">
        <v>275</v>
      </c>
      <c r="C109" s="15">
        <v>1</v>
      </c>
      <c r="D109" s="10" t="s">
        <v>60</v>
      </c>
      <c r="E109" s="147">
        <v>450000</v>
      </c>
      <c r="F109" s="143">
        <f t="shared" si="1"/>
        <v>450000</v>
      </c>
    </row>
    <row r="110" spans="1:6" s="54" customFormat="1">
      <c r="A110" s="308" t="s">
        <v>377</v>
      </c>
      <c r="B110" s="309"/>
      <c r="C110" s="309"/>
      <c r="D110" s="309"/>
      <c r="E110" s="310"/>
      <c r="F110" s="16">
        <f>SUM(F10:F109)+97.1+5</f>
        <v>45587000.000000007</v>
      </c>
    </row>
    <row r="111" spans="1:6" s="54" customFormat="1">
      <c r="A111" s="297" t="s">
        <v>467</v>
      </c>
      <c r="B111" s="298"/>
      <c r="C111" s="298"/>
      <c r="D111" s="298"/>
      <c r="E111" s="299"/>
      <c r="F111" s="143">
        <f>F110*0.02+8160</f>
        <v>919900.00000000012</v>
      </c>
    </row>
    <row r="112" spans="1:6" s="54" customFormat="1">
      <c r="A112" s="297" t="s">
        <v>721</v>
      </c>
      <c r="B112" s="298"/>
      <c r="C112" s="298"/>
      <c r="D112" s="298"/>
      <c r="E112" s="299"/>
      <c r="F112" s="16">
        <f>3500*65+15600</f>
        <v>243100</v>
      </c>
    </row>
    <row r="113" spans="1:6" s="54" customFormat="1">
      <c r="A113" s="297" t="s">
        <v>722</v>
      </c>
      <c r="B113" s="298"/>
      <c r="C113" s="298"/>
      <c r="D113" s="298"/>
      <c r="E113" s="299"/>
      <c r="F113" s="16">
        <v>200000</v>
      </c>
    </row>
    <row r="114" spans="1:6" s="54" customFormat="1">
      <c r="A114" s="297" t="s">
        <v>723</v>
      </c>
      <c r="B114" s="298"/>
      <c r="C114" s="298"/>
      <c r="D114" s="298"/>
      <c r="E114" s="299"/>
      <c r="F114" s="16">
        <v>500000</v>
      </c>
    </row>
    <row r="115" spans="1:6" s="54" customFormat="1">
      <c r="A115" s="297" t="s">
        <v>452</v>
      </c>
      <c r="B115" s="298"/>
      <c r="C115" s="298"/>
      <c r="D115" s="298"/>
      <c r="E115" s="299"/>
      <c r="F115" s="143">
        <f>F110+F111+F114+F112+F113</f>
        <v>47450000.000000007</v>
      </c>
    </row>
    <row r="116" spans="1:6" s="54" customFormat="1">
      <c r="A116" s="297"/>
      <c r="B116" s="298"/>
      <c r="C116" s="298"/>
      <c r="D116" s="298"/>
      <c r="E116" s="299"/>
      <c r="F116" s="143"/>
    </row>
    <row r="117" spans="1:6" s="54" customFormat="1">
      <c r="A117" s="297" t="s">
        <v>481</v>
      </c>
      <c r="B117" s="298"/>
      <c r="C117" s="298"/>
      <c r="D117" s="298"/>
      <c r="E117" s="299"/>
      <c r="F117" s="143">
        <f>F110*0.04-23480</f>
        <v>1800000.0000000002</v>
      </c>
    </row>
    <row r="118" spans="1:6" s="54" customFormat="1">
      <c r="A118" s="307" t="s">
        <v>724</v>
      </c>
      <c r="B118" s="307"/>
      <c r="C118" s="307"/>
      <c r="D118" s="307"/>
      <c r="E118" s="307"/>
      <c r="F118" s="16">
        <v>750000</v>
      </c>
    </row>
    <row r="119" spans="1:6" s="54" customFormat="1" ht="15.75" thickBot="1">
      <c r="A119" s="305" t="s">
        <v>379</v>
      </c>
      <c r="B119" s="305"/>
      <c r="C119" s="305"/>
      <c r="D119" s="305"/>
      <c r="E119" s="305"/>
      <c r="F119" s="112">
        <f>F115+F117+F118</f>
        <v>50000000.000000007</v>
      </c>
    </row>
    <row r="120" spans="1:6" s="54" customFormat="1" ht="15.75" thickTop="1">
      <c r="A120" s="154" t="s">
        <v>445</v>
      </c>
      <c r="B120" s="151"/>
    </row>
    <row r="121" spans="1:6" s="54" customFormat="1">
      <c r="A121" s="154" t="s">
        <v>446</v>
      </c>
      <c r="B121" s="151"/>
    </row>
    <row r="122" spans="1:6" s="54" customFormat="1">
      <c r="A122" s="154" t="s">
        <v>447</v>
      </c>
      <c r="B122" s="151"/>
    </row>
    <row r="123" spans="1:6" s="54" customFormat="1">
      <c r="A123" s="154" t="s">
        <v>623</v>
      </c>
      <c r="B123" s="151"/>
    </row>
    <row r="124" spans="1:6" s="54" customFormat="1">
      <c r="A124" s="154"/>
      <c r="B124" s="151"/>
    </row>
    <row r="125" spans="1:6" s="54" customFormat="1">
      <c r="A125" s="154"/>
      <c r="B125" s="151"/>
    </row>
    <row r="126" spans="1:6" s="54" customFormat="1" ht="15.75" thickBot="1">
      <c r="A126" s="280" t="s">
        <v>498</v>
      </c>
      <c r="B126" s="280"/>
      <c r="C126" s="280"/>
      <c r="D126" s="280"/>
      <c r="E126" s="280"/>
    </row>
    <row r="127" spans="1:6" s="54" customFormat="1">
      <c r="A127" s="275" t="s">
        <v>489</v>
      </c>
      <c r="B127" s="275"/>
      <c r="C127">
        <v>3</v>
      </c>
      <c r="D127" s="129">
        <f>'Maintenance Cost'!F52</f>
        <v>782000</v>
      </c>
      <c r="E127" s="129">
        <f>C127*D127</f>
        <v>2346000</v>
      </c>
    </row>
    <row r="128" spans="1:6" s="54" customFormat="1">
      <c r="A128" s="276" t="s">
        <v>530</v>
      </c>
      <c r="B128" s="276"/>
      <c r="C128" s="163">
        <v>1</v>
      </c>
      <c r="D128" s="129">
        <f>'Maintenance Cost'!F24</f>
        <v>37000</v>
      </c>
      <c r="E128" s="129">
        <f>C128*D128</f>
        <v>37000</v>
      </c>
    </row>
    <row r="129" spans="1:6" s="54" customFormat="1">
      <c r="A129" s="276" t="s">
        <v>700</v>
      </c>
      <c r="B129" s="276"/>
      <c r="C129" s="163">
        <v>3</v>
      </c>
      <c r="D129" s="129">
        <f>'Maintenance Cost'!F77</f>
        <v>276000</v>
      </c>
      <c r="E129" s="129">
        <f>C129*D129</f>
        <v>828000</v>
      </c>
    </row>
    <row r="130" spans="1:6" s="54" customFormat="1">
      <c r="A130" s="276" t="s">
        <v>704</v>
      </c>
      <c r="B130" s="276"/>
      <c r="C130" s="163">
        <v>1</v>
      </c>
      <c r="D130" s="129">
        <f>'Maintenance Cost'!F65</f>
        <v>520000</v>
      </c>
      <c r="E130" s="129">
        <f>C130*D130</f>
        <v>520000</v>
      </c>
    </row>
    <row r="131" spans="1:6" s="54" customFormat="1">
      <c r="A131"/>
      <c r="B131"/>
      <c r="C131" s="129"/>
      <c r="D131"/>
      <c r="E131"/>
    </row>
    <row r="132" spans="1:6" s="54" customFormat="1">
      <c r="A132" t="s">
        <v>487</v>
      </c>
      <c r="B132"/>
      <c r="C132" s="129"/>
      <c r="D132"/>
      <c r="E132">
        <v>30</v>
      </c>
    </row>
    <row r="133" spans="1:6" s="54" customFormat="1">
      <c r="A133" t="s">
        <v>486</v>
      </c>
      <c r="B133"/>
      <c r="C133" s="129"/>
      <c r="D133"/>
      <c r="E133" s="131">
        <f>E128*E132</f>
        <v>1110000</v>
      </c>
    </row>
    <row r="134" spans="1:6" s="54" customFormat="1">
      <c r="A134"/>
      <c r="B134"/>
      <c r="C134" s="129"/>
      <c r="D134"/>
      <c r="E134"/>
    </row>
    <row r="135" spans="1:6" s="54" customFormat="1">
      <c r="A135"/>
      <c r="B135"/>
      <c r="C135"/>
      <c r="D135"/>
      <c r="E135"/>
    </row>
    <row r="136" spans="1:6" s="54" customFormat="1" ht="15.75" thickBot="1">
      <c r="A136" s="132" t="s">
        <v>491</v>
      </c>
      <c r="B136" s="132"/>
      <c r="C136" s="132"/>
      <c r="D136" s="132"/>
      <c r="E136" s="133">
        <f>E127+E133+E129+E130</f>
        <v>4804000</v>
      </c>
    </row>
    <row r="137" spans="1:6" s="54" customFormat="1" ht="16.5" thickTop="1" thickBot="1">
      <c r="A137" s="305" t="s">
        <v>546</v>
      </c>
      <c r="B137" s="305"/>
      <c r="C137" s="305"/>
      <c r="D137" s="305"/>
      <c r="E137" s="305"/>
      <c r="F137" s="112">
        <f>F119+E136</f>
        <v>54804000.000000007</v>
      </c>
    </row>
    <row r="138" spans="1:6" s="54" customFormat="1" ht="15.75" thickTop="1">
      <c r="A138" s="154"/>
      <c r="B138" s="151"/>
    </row>
    <row r="139" spans="1:6" s="54" customFormat="1">
      <c r="A139" s="154"/>
      <c r="B139" s="151"/>
    </row>
    <row r="140" spans="1:6" s="54" customFormat="1">
      <c r="A140" s="154"/>
      <c r="B140" s="151"/>
    </row>
    <row r="141" spans="1:6" s="54" customFormat="1">
      <c r="A141" s="154"/>
      <c r="B141" s="151"/>
    </row>
    <row r="142" spans="1:6" s="54" customFormat="1">
      <c r="A142" s="154"/>
      <c r="B142" s="151"/>
    </row>
    <row r="143" spans="1:6" s="54" customFormat="1" ht="60.75" customHeight="1" thickBot="1">
      <c r="A143" s="56" t="s">
        <v>276</v>
      </c>
      <c r="B143" s="56" t="s">
        <v>450</v>
      </c>
      <c r="C143" s="56" t="s">
        <v>277</v>
      </c>
      <c r="D143" s="56" t="s">
        <v>278</v>
      </c>
      <c r="E143" s="56" t="s">
        <v>449</v>
      </c>
    </row>
    <row r="144" spans="1:6" s="54" customFormat="1">
      <c r="A144" s="54" t="s">
        <v>282</v>
      </c>
      <c r="B144" s="57"/>
      <c r="C144" s="58">
        <v>0.7</v>
      </c>
      <c r="D144" s="57"/>
      <c r="E144" s="57"/>
    </row>
    <row r="145" spans="1:5" s="54" customFormat="1">
      <c r="A145" s="54" t="s">
        <v>283</v>
      </c>
      <c r="B145" s="57"/>
      <c r="C145" s="58">
        <v>0.25</v>
      </c>
      <c r="D145" s="57"/>
      <c r="E145" s="57"/>
    </row>
    <row r="146" spans="1:5" s="54" customFormat="1">
      <c r="A146" s="54" t="s">
        <v>281</v>
      </c>
      <c r="B146" s="57"/>
      <c r="C146" s="58">
        <v>0.7</v>
      </c>
      <c r="D146" s="57"/>
      <c r="E146" s="57"/>
    </row>
    <row r="147" spans="1:5" s="54" customFormat="1">
      <c r="A147" s="54" t="s">
        <v>284</v>
      </c>
      <c r="B147" s="57"/>
      <c r="C147" s="58">
        <v>0.7</v>
      </c>
      <c r="D147" s="57"/>
      <c r="E147" s="57"/>
    </row>
    <row r="148" spans="1:5" s="54" customFormat="1">
      <c r="A148" s="54" t="s">
        <v>708</v>
      </c>
      <c r="B148" s="257">
        <f>F110</f>
        <v>45587000.000000007</v>
      </c>
      <c r="C148" s="58">
        <f>(C144+C145+C146+C147)/4</f>
        <v>0.58749999999999991</v>
      </c>
      <c r="D148" s="57">
        <f t="shared" ref="D148" si="2">B148*C148</f>
        <v>26782362.5</v>
      </c>
      <c r="E148" s="157">
        <f>D148/Discount!B43</f>
        <v>1788536.3722402649</v>
      </c>
    </row>
    <row r="149" spans="1:5" s="54" customFormat="1" ht="15.75" thickBot="1">
      <c r="A149" s="306" t="s">
        <v>279</v>
      </c>
      <c r="B149" s="306"/>
      <c r="C149" s="59"/>
      <c r="D149" s="60">
        <f>SUM(D148:D148)</f>
        <v>26782362.5</v>
      </c>
      <c r="E149" s="60">
        <f>SUM(E148:E148)</f>
        <v>1788536.3722402649</v>
      </c>
    </row>
    <row r="150" spans="1:5" s="54" customFormat="1" ht="15.75" thickTop="1">
      <c r="B150" s="151"/>
    </row>
    <row r="151" spans="1:5" s="54" customFormat="1">
      <c r="B151" s="151"/>
    </row>
    <row r="152" spans="1:5" s="54" customFormat="1">
      <c r="B152" s="151"/>
    </row>
    <row r="153" spans="1:5" s="54" customFormat="1">
      <c r="B153" s="151"/>
    </row>
    <row r="154" spans="1:5" s="54" customFormat="1">
      <c r="B154" s="151"/>
    </row>
    <row r="155" spans="1:5" s="54" customFormat="1">
      <c r="B155" s="151"/>
    </row>
    <row r="156" spans="1:5" s="54" customFormat="1">
      <c r="B156" s="151"/>
    </row>
    <row r="157" spans="1:5" s="54" customFormat="1">
      <c r="B157" s="151"/>
    </row>
    <row r="158" spans="1:5" s="54" customFormat="1">
      <c r="B158" s="151"/>
    </row>
    <row r="159" spans="1:5" s="54" customFormat="1">
      <c r="B159" s="151"/>
    </row>
    <row r="160" spans="1:5" s="54" customFormat="1">
      <c r="B160" s="151"/>
    </row>
    <row r="161" spans="2:2" s="54" customFormat="1">
      <c r="B161" s="151"/>
    </row>
    <row r="162" spans="2:2" s="54" customFormat="1">
      <c r="B162" s="151"/>
    </row>
    <row r="163" spans="2:2" s="54" customFormat="1">
      <c r="B163" s="151"/>
    </row>
    <row r="164" spans="2:2" s="54" customFormat="1">
      <c r="B164" s="151"/>
    </row>
    <row r="165" spans="2:2" s="54" customFormat="1">
      <c r="B165" s="151"/>
    </row>
    <row r="166" spans="2:2" s="54" customFormat="1">
      <c r="B166" s="151"/>
    </row>
    <row r="167" spans="2:2" s="54" customFormat="1">
      <c r="B167" s="151"/>
    </row>
  </sheetData>
  <mergeCells count="29">
    <mergeCell ref="A6:F6"/>
    <mergeCell ref="A1:F1"/>
    <mergeCell ref="A2:F2"/>
    <mergeCell ref="A3:F3"/>
    <mergeCell ref="A4:F4"/>
    <mergeCell ref="A110:E110"/>
    <mergeCell ref="A111:E111"/>
    <mergeCell ref="A112:E112"/>
    <mergeCell ref="A7:F7"/>
    <mergeCell ref="A8:A9"/>
    <mergeCell ref="B8:B9"/>
    <mergeCell ref="C8:C9"/>
    <mergeCell ref="D8:D9"/>
    <mergeCell ref="E8:E9"/>
    <mergeCell ref="F8:F9"/>
    <mergeCell ref="A119:E119"/>
    <mergeCell ref="A149:B149"/>
    <mergeCell ref="A113:E113"/>
    <mergeCell ref="A114:E114"/>
    <mergeCell ref="A115:E115"/>
    <mergeCell ref="A116:E116"/>
    <mergeCell ref="A117:E117"/>
    <mergeCell ref="A126:E126"/>
    <mergeCell ref="A127:B127"/>
    <mergeCell ref="A128:B128"/>
    <mergeCell ref="A137:E137"/>
    <mergeCell ref="A118:E118"/>
    <mergeCell ref="A129:B129"/>
    <mergeCell ref="A130:B130"/>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426EF-670E-4EC7-A7F0-4DB8006C57B8}">
  <dimension ref="A1:G105"/>
  <sheetViews>
    <sheetView zoomScaleNormal="100" workbookViewId="0">
      <selection activeCell="A69" sqref="A69:A70"/>
    </sheetView>
  </sheetViews>
  <sheetFormatPr defaultRowHeight="15"/>
  <cols>
    <col min="1" max="1" width="10" customWidth="1"/>
    <col min="2" max="2" width="14" style="152" customWidth="1"/>
    <col min="3" max="3" width="17.28515625" customWidth="1"/>
    <col min="4" max="4" width="15.42578125" customWidth="1"/>
    <col min="5" max="5" width="17.7109375" customWidth="1"/>
    <col min="6" max="6" width="15.28515625" bestFit="1" customWidth="1"/>
  </cols>
  <sheetData>
    <row r="1" spans="1:6" ht="23.25">
      <c r="A1" s="262" t="s">
        <v>10</v>
      </c>
      <c r="B1" s="262"/>
      <c r="C1" s="262"/>
      <c r="D1" s="262"/>
      <c r="E1" s="262"/>
      <c r="F1" s="262"/>
    </row>
    <row r="2" spans="1:6" ht="20.25" thickBot="1">
      <c r="A2" s="263" t="s">
        <v>9</v>
      </c>
      <c r="B2" s="263"/>
      <c r="C2" s="263"/>
      <c r="D2" s="263"/>
      <c r="E2" s="263"/>
      <c r="F2" s="263"/>
    </row>
    <row r="3" spans="1:6" ht="21" thickTop="1" thickBot="1">
      <c r="A3" s="263" t="s">
        <v>1</v>
      </c>
      <c r="B3" s="263"/>
      <c r="C3" s="263"/>
      <c r="D3" s="263"/>
      <c r="E3" s="263"/>
      <c r="F3" s="263"/>
    </row>
    <row r="4" spans="1:6" ht="16.5" thickTop="1" thickBot="1">
      <c r="A4" s="285" t="s">
        <v>497</v>
      </c>
      <c r="B4" s="285"/>
      <c r="C4" s="285"/>
      <c r="D4" s="285"/>
      <c r="E4" s="285"/>
      <c r="F4" s="285"/>
    </row>
    <row r="6" spans="1:6">
      <c r="A6" s="300" t="s">
        <v>541</v>
      </c>
      <c r="B6" s="300"/>
      <c r="C6" s="300"/>
      <c r="D6" s="300"/>
      <c r="E6" s="300"/>
      <c r="F6" s="300"/>
    </row>
    <row r="7" spans="1:6" ht="15.75" thickBot="1">
      <c r="A7" s="312" t="s">
        <v>151</v>
      </c>
      <c r="B7" s="312"/>
      <c r="C7" s="312"/>
      <c r="D7" s="312"/>
      <c r="E7" s="312"/>
      <c r="F7" s="312"/>
    </row>
    <row r="8" spans="1:6">
      <c r="A8" s="286" t="s">
        <v>153</v>
      </c>
      <c r="B8" s="311" t="s">
        <v>154</v>
      </c>
      <c r="C8" s="288" t="s">
        <v>155</v>
      </c>
      <c r="D8" s="289" t="s">
        <v>156</v>
      </c>
      <c r="E8" s="290" t="s">
        <v>432</v>
      </c>
      <c r="F8" s="292" t="s">
        <v>152</v>
      </c>
    </row>
    <row r="9" spans="1:6">
      <c r="A9" s="286"/>
      <c r="B9" s="311"/>
      <c r="C9" s="288"/>
      <c r="D9" s="289"/>
      <c r="E9" s="291"/>
      <c r="F9" s="293"/>
    </row>
    <row r="10" spans="1:6">
      <c r="A10" s="141" t="s">
        <v>170</v>
      </c>
      <c r="B10" s="142" t="s">
        <v>61</v>
      </c>
      <c r="C10" s="9">
        <v>1</v>
      </c>
      <c r="D10" s="10" t="s">
        <v>60</v>
      </c>
      <c r="E10" s="143">
        <v>4299.3</v>
      </c>
      <c r="F10" s="143">
        <f t="shared" ref="F10:F23" si="0">E10*C10</f>
        <v>4299.3</v>
      </c>
    </row>
    <row r="11" spans="1:6">
      <c r="A11" s="141" t="s">
        <v>526</v>
      </c>
      <c r="B11" s="142" t="s">
        <v>148</v>
      </c>
      <c r="C11" s="148">
        <v>30</v>
      </c>
      <c r="D11" s="10" t="s">
        <v>69</v>
      </c>
      <c r="E11" s="14">
        <v>11</v>
      </c>
      <c r="F11" s="143">
        <f t="shared" si="0"/>
        <v>330</v>
      </c>
    </row>
    <row r="12" spans="1:6">
      <c r="A12" s="141" t="s">
        <v>192</v>
      </c>
      <c r="B12" s="144" t="s">
        <v>193</v>
      </c>
      <c r="C12" s="9">
        <v>5</v>
      </c>
      <c r="D12" s="13" t="s">
        <v>66</v>
      </c>
      <c r="E12" s="14">
        <v>21.8</v>
      </c>
      <c r="F12" s="143">
        <f t="shared" si="0"/>
        <v>109</v>
      </c>
    </row>
    <row r="13" spans="1:6">
      <c r="A13" s="141" t="s">
        <v>194</v>
      </c>
      <c r="B13" s="144" t="s">
        <v>195</v>
      </c>
      <c r="C13" s="9">
        <v>1</v>
      </c>
      <c r="D13" s="13" t="s">
        <v>66</v>
      </c>
      <c r="E13" s="14">
        <v>19.7</v>
      </c>
      <c r="F13" s="143">
        <f t="shared" si="0"/>
        <v>19.7</v>
      </c>
    </row>
    <row r="14" spans="1:6">
      <c r="A14" s="141" t="s">
        <v>198</v>
      </c>
      <c r="B14" s="144" t="s">
        <v>199</v>
      </c>
      <c r="C14" s="9">
        <v>10</v>
      </c>
      <c r="D14" s="13" t="s">
        <v>200</v>
      </c>
      <c r="E14" s="14">
        <v>23</v>
      </c>
      <c r="F14" s="143">
        <f t="shared" si="0"/>
        <v>230</v>
      </c>
    </row>
    <row r="15" spans="1:6" ht="51">
      <c r="A15" s="141" t="s">
        <v>205</v>
      </c>
      <c r="B15" s="145" t="s">
        <v>206</v>
      </c>
      <c r="C15" s="9">
        <v>400</v>
      </c>
      <c r="D15" s="10" t="s">
        <v>69</v>
      </c>
      <c r="E15" s="147">
        <v>18.100000000000001</v>
      </c>
      <c r="F15" s="143">
        <f t="shared" si="0"/>
        <v>7240.0000000000009</v>
      </c>
    </row>
    <row r="16" spans="1:6">
      <c r="A16" s="141" t="s">
        <v>207</v>
      </c>
      <c r="B16" s="142" t="s">
        <v>208</v>
      </c>
      <c r="C16" s="9">
        <v>640</v>
      </c>
      <c r="D16" s="10" t="s">
        <v>209</v>
      </c>
      <c r="E16" s="14">
        <v>16.3</v>
      </c>
      <c r="F16" s="143">
        <f t="shared" si="0"/>
        <v>10432</v>
      </c>
    </row>
    <row r="17" spans="1:6">
      <c r="A17" s="141" t="s">
        <v>210</v>
      </c>
      <c r="B17" s="142" t="s">
        <v>211</v>
      </c>
      <c r="C17" s="9">
        <v>250</v>
      </c>
      <c r="D17" s="10" t="s">
        <v>209</v>
      </c>
      <c r="E17" s="14">
        <v>16.5</v>
      </c>
      <c r="F17" s="143">
        <f t="shared" si="0"/>
        <v>4125</v>
      </c>
    </row>
    <row r="18" spans="1:6">
      <c r="A18" s="141" t="s">
        <v>216</v>
      </c>
      <c r="B18" s="144" t="s">
        <v>217</v>
      </c>
      <c r="C18" s="9">
        <v>20</v>
      </c>
      <c r="D18" s="10" t="s">
        <v>218</v>
      </c>
      <c r="E18" s="147">
        <v>24</v>
      </c>
      <c r="F18" s="143">
        <f t="shared" si="0"/>
        <v>480</v>
      </c>
    </row>
    <row r="19" spans="1:6">
      <c r="A19" s="141" t="s">
        <v>221</v>
      </c>
      <c r="B19" s="144" t="s">
        <v>222</v>
      </c>
      <c r="C19" s="148">
        <v>50</v>
      </c>
      <c r="D19" s="10" t="s">
        <v>200</v>
      </c>
      <c r="E19" s="147">
        <v>4.7</v>
      </c>
      <c r="F19" s="143">
        <f t="shared" si="0"/>
        <v>235</v>
      </c>
    </row>
    <row r="20" spans="1:6">
      <c r="A20" s="141" t="s">
        <v>223</v>
      </c>
      <c r="B20" s="144" t="s">
        <v>224</v>
      </c>
      <c r="C20" s="148">
        <v>1</v>
      </c>
      <c r="D20" s="10" t="s">
        <v>60</v>
      </c>
      <c r="E20" s="147">
        <v>1000</v>
      </c>
      <c r="F20" s="143">
        <f t="shared" si="0"/>
        <v>1000</v>
      </c>
    </row>
    <row r="21" spans="1:6">
      <c r="A21" s="141" t="s">
        <v>436</v>
      </c>
      <c r="B21" s="144" t="s">
        <v>509</v>
      </c>
      <c r="C21" s="148">
        <v>1</v>
      </c>
      <c r="D21" s="10" t="s">
        <v>60</v>
      </c>
      <c r="E21" s="147">
        <v>2000</v>
      </c>
      <c r="F21" s="143">
        <f t="shared" si="0"/>
        <v>2000</v>
      </c>
    </row>
    <row r="22" spans="1:6">
      <c r="A22" s="141" t="s">
        <v>510</v>
      </c>
      <c r="B22" s="144" t="s">
        <v>511</v>
      </c>
      <c r="C22" s="148">
        <v>1</v>
      </c>
      <c r="D22" s="10" t="s">
        <v>60</v>
      </c>
      <c r="E22" s="147">
        <v>500</v>
      </c>
      <c r="F22" s="143">
        <f t="shared" si="0"/>
        <v>500</v>
      </c>
    </row>
    <row r="23" spans="1:6">
      <c r="A23" s="141" t="s">
        <v>542</v>
      </c>
      <c r="B23" s="144" t="s">
        <v>543</v>
      </c>
      <c r="C23" s="148">
        <v>1</v>
      </c>
      <c r="D23" s="10" t="s">
        <v>60</v>
      </c>
      <c r="E23" s="147">
        <f>2000*3</f>
        <v>6000</v>
      </c>
      <c r="F23" s="143">
        <f t="shared" si="0"/>
        <v>6000</v>
      </c>
    </row>
    <row r="24" spans="1:6" ht="15.75" thickBot="1">
      <c r="A24" s="302" t="s">
        <v>527</v>
      </c>
      <c r="B24" s="303"/>
      <c r="C24" s="303"/>
      <c r="D24" s="303"/>
      <c r="E24" s="304"/>
      <c r="F24" s="165">
        <f>SUM(F10:F23)</f>
        <v>37000</v>
      </c>
    </row>
    <row r="25" spans="1:6" ht="15.75" thickTop="1"/>
    <row r="27" spans="1:6">
      <c r="A27" s="300" t="s">
        <v>544</v>
      </c>
      <c r="B27" s="300"/>
      <c r="C27" s="300"/>
      <c r="D27" s="300"/>
      <c r="E27" s="300"/>
      <c r="F27" s="300"/>
    </row>
    <row r="28" spans="1:6" ht="28.15" customHeight="1" thickBot="1">
      <c r="A28" s="312" t="s">
        <v>712</v>
      </c>
      <c r="B28" s="312"/>
      <c r="C28" s="312"/>
      <c r="D28" s="312"/>
      <c r="E28" s="312"/>
      <c r="F28" s="312"/>
    </row>
    <row r="29" spans="1:6">
      <c r="A29" s="286" t="s">
        <v>153</v>
      </c>
      <c r="B29" s="311" t="s">
        <v>154</v>
      </c>
      <c r="C29" s="288" t="s">
        <v>155</v>
      </c>
      <c r="D29" s="289" t="s">
        <v>156</v>
      </c>
      <c r="E29" s="290" t="s">
        <v>432</v>
      </c>
      <c r="F29" s="292" t="s">
        <v>152</v>
      </c>
    </row>
    <row r="30" spans="1:6">
      <c r="A30" s="286"/>
      <c r="B30" s="311"/>
      <c r="C30" s="288"/>
      <c r="D30" s="289"/>
      <c r="E30" s="291"/>
      <c r="F30" s="293"/>
    </row>
    <row r="31" spans="1:6">
      <c r="A31" s="141" t="s">
        <v>169</v>
      </c>
      <c r="B31" s="142" t="s">
        <v>59</v>
      </c>
      <c r="C31" s="9">
        <v>1</v>
      </c>
      <c r="D31" s="10" t="s">
        <v>60</v>
      </c>
      <c r="E31" s="143">
        <v>10000</v>
      </c>
      <c r="F31" s="143">
        <f t="shared" ref="F31:F46" si="1">E31*C31</f>
        <v>10000</v>
      </c>
    </row>
    <row r="32" spans="1:6">
      <c r="A32" s="141" t="s">
        <v>170</v>
      </c>
      <c r="B32" s="142" t="s">
        <v>61</v>
      </c>
      <c r="C32" s="9">
        <v>1</v>
      </c>
      <c r="D32" s="10" t="s">
        <v>60</v>
      </c>
      <c r="E32" s="143">
        <v>100000</v>
      </c>
      <c r="F32" s="143">
        <f t="shared" si="1"/>
        <v>100000</v>
      </c>
    </row>
    <row r="33" spans="1:6">
      <c r="A33" s="11" t="s">
        <v>62</v>
      </c>
      <c r="B33" s="11" t="s">
        <v>63</v>
      </c>
      <c r="C33" s="9">
        <v>1</v>
      </c>
      <c r="D33" s="10" t="s">
        <v>60</v>
      </c>
      <c r="E33" s="143">
        <v>5000</v>
      </c>
      <c r="F33" s="143">
        <f t="shared" si="1"/>
        <v>5000</v>
      </c>
    </row>
    <row r="34" spans="1:6">
      <c r="A34" s="141" t="s">
        <v>470</v>
      </c>
      <c r="B34" s="153" t="s">
        <v>471</v>
      </c>
      <c r="C34" s="9">
        <v>85</v>
      </c>
      <c r="D34" s="10" t="s">
        <v>101</v>
      </c>
      <c r="E34" s="143">
        <v>700</v>
      </c>
      <c r="F34" s="143">
        <f t="shared" si="1"/>
        <v>59500</v>
      </c>
    </row>
    <row r="35" spans="1:6">
      <c r="A35" s="141" t="s">
        <v>472</v>
      </c>
      <c r="B35" s="153" t="s">
        <v>473</v>
      </c>
      <c r="C35" s="9">
        <v>45</v>
      </c>
      <c r="D35" s="10" t="s">
        <v>101</v>
      </c>
      <c r="E35" s="147">
        <v>35</v>
      </c>
      <c r="F35" s="143">
        <f t="shared" si="1"/>
        <v>1575</v>
      </c>
    </row>
    <row r="36" spans="1:6" ht="38.25">
      <c r="A36" s="141" t="s">
        <v>474</v>
      </c>
      <c r="B36" s="145" t="s">
        <v>475</v>
      </c>
      <c r="C36" s="9">
        <v>3500</v>
      </c>
      <c r="D36" s="10" t="s">
        <v>247</v>
      </c>
      <c r="E36" s="143">
        <v>2.5</v>
      </c>
      <c r="F36" s="143">
        <f t="shared" si="1"/>
        <v>8750</v>
      </c>
    </row>
    <row r="37" spans="1:6">
      <c r="A37" s="141" t="s">
        <v>476</v>
      </c>
      <c r="B37" s="142" t="s">
        <v>477</v>
      </c>
      <c r="C37" s="9">
        <v>460</v>
      </c>
      <c r="D37" s="10" t="s">
        <v>101</v>
      </c>
      <c r="E37" s="14">
        <v>450</v>
      </c>
      <c r="F37" s="143">
        <f t="shared" si="1"/>
        <v>207000</v>
      </c>
    </row>
    <row r="38" spans="1:6">
      <c r="A38" s="141" t="s">
        <v>478</v>
      </c>
      <c r="B38" s="142" t="s">
        <v>479</v>
      </c>
      <c r="C38" s="9">
        <v>4700</v>
      </c>
      <c r="D38" s="10" t="s">
        <v>101</v>
      </c>
      <c r="E38" s="14">
        <v>45</v>
      </c>
      <c r="F38" s="143">
        <f t="shared" si="1"/>
        <v>211500</v>
      </c>
    </row>
    <row r="39" spans="1:6">
      <c r="A39" s="141" t="s">
        <v>207</v>
      </c>
      <c r="B39" s="144" t="s">
        <v>208</v>
      </c>
      <c r="C39" s="9">
        <v>650</v>
      </c>
      <c r="D39" s="10" t="s">
        <v>69</v>
      </c>
      <c r="E39" s="147">
        <v>16.3</v>
      </c>
      <c r="F39" s="143">
        <f t="shared" si="1"/>
        <v>10595</v>
      </c>
    </row>
    <row r="40" spans="1:6">
      <c r="A40" s="141" t="s">
        <v>210</v>
      </c>
      <c r="B40" s="144" t="s">
        <v>211</v>
      </c>
      <c r="C40" s="9">
        <v>270</v>
      </c>
      <c r="D40" s="10" t="s">
        <v>69</v>
      </c>
      <c r="E40" s="143">
        <v>16.5</v>
      </c>
      <c r="F40" s="143">
        <f t="shared" si="1"/>
        <v>4455</v>
      </c>
    </row>
    <row r="41" spans="1:6">
      <c r="A41" s="141" t="s">
        <v>216</v>
      </c>
      <c r="B41" s="144" t="s">
        <v>217</v>
      </c>
      <c r="C41" s="9">
        <v>1500</v>
      </c>
      <c r="D41" s="10" t="s">
        <v>218</v>
      </c>
      <c r="E41" s="147">
        <v>24</v>
      </c>
      <c r="F41" s="143">
        <f t="shared" si="1"/>
        <v>36000</v>
      </c>
    </row>
    <row r="42" spans="1:6">
      <c r="A42" s="141" t="s">
        <v>219</v>
      </c>
      <c r="B42" s="144" t="s">
        <v>220</v>
      </c>
      <c r="C42" s="9">
        <v>200</v>
      </c>
      <c r="D42" s="10" t="s">
        <v>218</v>
      </c>
      <c r="E42" s="147">
        <v>40</v>
      </c>
      <c r="F42" s="143">
        <f t="shared" si="1"/>
        <v>8000</v>
      </c>
    </row>
    <row r="43" spans="1:6">
      <c r="A43" s="141" t="s">
        <v>221</v>
      </c>
      <c r="B43" s="144" t="s">
        <v>222</v>
      </c>
      <c r="C43" s="148">
        <v>700</v>
      </c>
      <c r="D43" s="10" t="s">
        <v>200</v>
      </c>
      <c r="E43" s="147">
        <v>4.7</v>
      </c>
      <c r="F43" s="143">
        <f t="shared" si="1"/>
        <v>3290</v>
      </c>
    </row>
    <row r="44" spans="1:6">
      <c r="A44" s="141" t="s">
        <v>223</v>
      </c>
      <c r="B44" s="144" t="s">
        <v>224</v>
      </c>
      <c r="C44" s="9">
        <v>1</v>
      </c>
      <c r="D44" s="10" t="s">
        <v>60</v>
      </c>
      <c r="E44" s="147">
        <v>45000</v>
      </c>
      <c r="F44" s="143">
        <f t="shared" si="1"/>
        <v>45000</v>
      </c>
    </row>
    <row r="45" spans="1:6">
      <c r="A45" s="141" t="s">
        <v>227</v>
      </c>
      <c r="B45" s="144" t="s">
        <v>228</v>
      </c>
      <c r="C45" s="12">
        <v>20.7</v>
      </c>
      <c r="D45" s="10" t="s">
        <v>112</v>
      </c>
      <c r="E45" s="147">
        <v>400</v>
      </c>
      <c r="F45" s="143">
        <f t="shared" si="1"/>
        <v>8280</v>
      </c>
    </row>
    <row r="46" spans="1:6">
      <c r="A46" s="141" t="s">
        <v>465</v>
      </c>
      <c r="B46" s="144" t="s">
        <v>275</v>
      </c>
      <c r="C46" s="15">
        <v>1</v>
      </c>
      <c r="D46" s="13" t="s">
        <v>60</v>
      </c>
      <c r="E46" s="149">
        <v>5000</v>
      </c>
      <c r="F46" s="143">
        <f t="shared" si="1"/>
        <v>5000</v>
      </c>
    </row>
    <row r="47" spans="1:6">
      <c r="A47" s="297" t="s">
        <v>377</v>
      </c>
      <c r="B47" s="298"/>
      <c r="C47" s="298"/>
      <c r="D47" s="298"/>
      <c r="E47" s="299"/>
      <c r="F47" s="143">
        <f>SUM(F31:F46)</f>
        <v>723945</v>
      </c>
    </row>
    <row r="48" spans="1:6">
      <c r="A48" s="297" t="s">
        <v>545</v>
      </c>
      <c r="B48" s="298"/>
      <c r="C48" s="298"/>
      <c r="D48" s="298"/>
      <c r="E48" s="299"/>
      <c r="F48" s="143">
        <f>F47*0.04</f>
        <v>28957.8</v>
      </c>
    </row>
    <row r="49" spans="1:7">
      <c r="A49" s="297" t="s">
        <v>378</v>
      </c>
      <c r="B49" s="298"/>
      <c r="C49" s="298"/>
      <c r="D49" s="298"/>
      <c r="E49" s="299"/>
      <c r="F49" s="143">
        <f>F47+F48</f>
        <v>752902.8</v>
      </c>
    </row>
    <row r="50" spans="1:7">
      <c r="A50" s="297"/>
      <c r="B50" s="298"/>
      <c r="C50" s="298"/>
      <c r="D50" s="298"/>
      <c r="E50" s="299"/>
      <c r="F50" s="143"/>
    </row>
    <row r="51" spans="1:7">
      <c r="A51" s="297" t="s">
        <v>448</v>
      </c>
      <c r="B51" s="298"/>
      <c r="C51" s="298"/>
      <c r="D51" s="298"/>
      <c r="E51" s="299"/>
      <c r="F51" s="143">
        <f>F47*0.04+139.4</f>
        <v>29097.200000000001</v>
      </c>
    </row>
    <row r="52" spans="1:7" ht="15.75" thickBot="1">
      <c r="A52" s="302" t="s">
        <v>379</v>
      </c>
      <c r="B52" s="303"/>
      <c r="C52" s="303"/>
      <c r="D52" s="303"/>
      <c r="E52" s="304"/>
      <c r="F52" s="165">
        <f>F49+F51</f>
        <v>782000</v>
      </c>
    </row>
    <row r="53" spans="1:7" s="54" customFormat="1" ht="15.75" thickTop="1">
      <c r="A53" s="159"/>
      <c r="B53" s="159"/>
      <c r="C53" s="159"/>
      <c r="D53" s="159"/>
      <c r="E53" s="159"/>
      <c r="F53" s="160"/>
    </row>
    <row r="54" spans="1:7" s="54" customFormat="1">
      <c r="A54" s="300" t="s">
        <v>701</v>
      </c>
      <c r="B54" s="300"/>
      <c r="C54" s="300"/>
      <c r="D54" s="300"/>
      <c r="E54" s="300"/>
      <c r="F54" s="300"/>
      <c r="G54" s="300"/>
    </row>
    <row r="55" spans="1:7" s="54" customFormat="1">
      <c r="A55" s="300" t="s">
        <v>713</v>
      </c>
      <c r="B55" s="300"/>
      <c r="C55" s="300"/>
      <c r="D55" s="300"/>
      <c r="E55" s="300"/>
      <c r="F55" s="300"/>
    </row>
    <row r="56" spans="1:7" s="54" customFormat="1">
      <c r="A56" s="286" t="s">
        <v>153</v>
      </c>
      <c r="B56" s="311" t="s">
        <v>154</v>
      </c>
      <c r="C56" s="288" t="s">
        <v>155</v>
      </c>
      <c r="D56" s="289" t="s">
        <v>156</v>
      </c>
      <c r="E56" s="290" t="s">
        <v>432</v>
      </c>
      <c r="F56" s="292" t="s">
        <v>152</v>
      </c>
    </row>
    <row r="57" spans="1:7" s="54" customFormat="1">
      <c r="A57" s="286"/>
      <c r="B57" s="311"/>
      <c r="C57" s="288"/>
      <c r="D57" s="289"/>
      <c r="E57" s="291"/>
      <c r="F57" s="293"/>
    </row>
    <row r="58" spans="1:7" s="54" customFormat="1">
      <c r="A58" s="141" t="s">
        <v>436</v>
      </c>
      <c r="B58" s="144" t="s">
        <v>437</v>
      </c>
      <c r="C58" s="9">
        <v>1</v>
      </c>
      <c r="D58" s="10" t="s">
        <v>60</v>
      </c>
      <c r="E58" s="147">
        <v>450000</v>
      </c>
      <c r="F58" s="143">
        <f t="shared" ref="F58:F59" si="2">E58*C58</f>
        <v>450000</v>
      </c>
    </row>
    <row r="59" spans="1:7" s="54" customFormat="1">
      <c r="A59" s="141" t="s">
        <v>438</v>
      </c>
      <c r="B59" s="144" t="s">
        <v>439</v>
      </c>
      <c r="C59" s="9">
        <v>2</v>
      </c>
      <c r="D59" s="10" t="s">
        <v>66</v>
      </c>
      <c r="E59" s="147">
        <v>15000</v>
      </c>
      <c r="F59" s="143">
        <f t="shared" si="2"/>
        <v>30000</v>
      </c>
    </row>
    <row r="60" spans="1:7" s="54" customFormat="1">
      <c r="A60" s="277" t="s">
        <v>466</v>
      </c>
      <c r="B60" s="278"/>
      <c r="C60" s="278"/>
      <c r="D60" s="278"/>
      <c r="E60" s="279"/>
      <c r="F60" s="143">
        <f>SUM(F58:F59)</f>
        <v>480000</v>
      </c>
    </row>
    <row r="61" spans="1:7" s="54" customFormat="1">
      <c r="A61" s="277" t="s">
        <v>480</v>
      </c>
      <c r="B61" s="278"/>
      <c r="C61" s="278"/>
      <c r="D61" s="278"/>
      <c r="E61" s="279"/>
      <c r="F61" s="143">
        <f>F60*0.04+300+500</f>
        <v>20000</v>
      </c>
    </row>
    <row r="62" spans="1:7" s="54" customFormat="1">
      <c r="A62" s="277" t="s">
        <v>452</v>
      </c>
      <c r="B62" s="278"/>
      <c r="C62" s="278"/>
      <c r="D62" s="278"/>
      <c r="E62" s="279"/>
      <c r="F62" s="143">
        <f>F60+F61</f>
        <v>500000</v>
      </c>
    </row>
    <row r="63" spans="1:7" s="54" customFormat="1">
      <c r="A63" s="277"/>
      <c r="B63" s="278"/>
      <c r="C63" s="278"/>
      <c r="D63" s="278"/>
      <c r="E63" s="279"/>
      <c r="F63" s="143"/>
    </row>
    <row r="64" spans="1:7" s="54" customFormat="1">
      <c r="A64" s="277" t="s">
        <v>481</v>
      </c>
      <c r="B64" s="278"/>
      <c r="C64" s="278"/>
      <c r="D64" s="278"/>
      <c r="E64" s="279"/>
      <c r="F64" s="143">
        <f>F60*0.04+300+500</f>
        <v>20000</v>
      </c>
    </row>
    <row r="65" spans="1:7" s="54" customFormat="1">
      <c r="A65" s="277" t="s">
        <v>453</v>
      </c>
      <c r="B65" s="278"/>
      <c r="C65" s="278"/>
      <c r="D65" s="278"/>
      <c r="E65" s="279"/>
      <c r="F65" s="256">
        <f>F62+F64</f>
        <v>520000</v>
      </c>
    </row>
    <row r="66" spans="1:7" s="54" customFormat="1">
      <c r="A66" s="251"/>
      <c r="B66" s="252"/>
      <c r="C66" s="253"/>
      <c r="D66" s="254"/>
      <c r="E66" s="255"/>
      <c r="F66" s="255"/>
    </row>
    <row r="67" spans="1:7" s="54" customFormat="1">
      <c r="A67" s="300" t="s">
        <v>702</v>
      </c>
      <c r="B67" s="300"/>
      <c r="C67" s="300"/>
      <c r="D67" s="300"/>
      <c r="E67" s="300"/>
      <c r="F67" s="300"/>
      <c r="G67" s="300"/>
    </row>
    <row r="68" spans="1:7" s="54" customFormat="1">
      <c r="A68" s="300" t="s">
        <v>714</v>
      </c>
      <c r="B68" s="300"/>
      <c r="C68" s="300"/>
      <c r="D68" s="300"/>
      <c r="E68" s="300"/>
      <c r="F68" s="300"/>
    </row>
    <row r="69" spans="1:7" s="54" customFormat="1">
      <c r="A69" s="286" t="s">
        <v>153</v>
      </c>
      <c r="B69" s="311" t="s">
        <v>154</v>
      </c>
      <c r="C69" s="288" t="s">
        <v>155</v>
      </c>
      <c r="D69" s="289" t="s">
        <v>156</v>
      </c>
      <c r="E69" s="290" t="s">
        <v>432</v>
      </c>
      <c r="F69" s="292" t="s">
        <v>152</v>
      </c>
    </row>
    <row r="70" spans="1:7" s="54" customFormat="1">
      <c r="A70" s="286"/>
      <c r="B70" s="311"/>
      <c r="C70" s="288"/>
      <c r="D70" s="289"/>
      <c r="E70" s="291"/>
      <c r="F70" s="293"/>
    </row>
    <row r="71" spans="1:7" s="54" customFormat="1">
      <c r="A71" s="141" t="s">
        <v>438</v>
      </c>
      <c r="B71" s="144" t="s">
        <v>703</v>
      </c>
      <c r="C71" s="9">
        <v>3</v>
      </c>
      <c r="D71" s="10" t="s">
        <v>66</v>
      </c>
      <c r="E71" s="147">
        <v>85000</v>
      </c>
      <c r="F71" s="143">
        <f t="shared" ref="F71" si="3">E71*C71</f>
        <v>255000</v>
      </c>
    </row>
    <row r="72" spans="1:7" s="54" customFormat="1">
      <c r="A72" s="277" t="s">
        <v>466</v>
      </c>
      <c r="B72" s="278"/>
      <c r="C72" s="278"/>
      <c r="D72" s="278"/>
      <c r="E72" s="279"/>
      <c r="F72" s="143">
        <f>SUM(F71:F71)</f>
        <v>255000</v>
      </c>
    </row>
    <row r="73" spans="1:7" s="54" customFormat="1">
      <c r="A73" s="277" t="s">
        <v>480</v>
      </c>
      <c r="B73" s="278"/>
      <c r="C73" s="278"/>
      <c r="D73" s="278"/>
      <c r="E73" s="279"/>
      <c r="F73" s="143">
        <f>F72*0.04+300</f>
        <v>10500</v>
      </c>
    </row>
    <row r="74" spans="1:7" s="54" customFormat="1">
      <c r="A74" s="277" t="s">
        <v>452</v>
      </c>
      <c r="B74" s="278"/>
      <c r="C74" s="278"/>
      <c r="D74" s="278"/>
      <c r="E74" s="279"/>
      <c r="F74" s="143">
        <f>F72+F73</f>
        <v>265500</v>
      </c>
    </row>
    <row r="75" spans="1:7" s="54" customFormat="1">
      <c r="A75" s="277"/>
      <c r="B75" s="278"/>
      <c r="C75" s="278"/>
      <c r="D75" s="278"/>
      <c r="E75" s="279"/>
      <c r="F75" s="143"/>
    </row>
    <row r="76" spans="1:7" s="54" customFormat="1">
      <c r="A76" s="277" t="s">
        <v>481</v>
      </c>
      <c r="B76" s="278"/>
      <c r="C76" s="278"/>
      <c r="D76" s="278"/>
      <c r="E76" s="279"/>
      <c r="F76" s="143">
        <f>F72*0.04+300</f>
        <v>10500</v>
      </c>
    </row>
    <row r="77" spans="1:7" s="54" customFormat="1">
      <c r="A77" s="277" t="s">
        <v>453</v>
      </c>
      <c r="B77" s="278"/>
      <c r="C77" s="278"/>
      <c r="D77" s="278"/>
      <c r="E77" s="279"/>
      <c r="F77" s="256">
        <f>F74+F76</f>
        <v>276000</v>
      </c>
    </row>
    <row r="78" spans="1:7" s="54" customFormat="1">
      <c r="A78" s="159"/>
      <c r="B78" s="159"/>
      <c r="C78" s="159"/>
      <c r="D78" s="159"/>
      <c r="E78" s="159"/>
      <c r="F78" s="160"/>
    </row>
    <row r="79" spans="1:7" s="54" customFormat="1" ht="15.75" thickBot="1">
      <c r="A79" s="280" t="s">
        <v>498</v>
      </c>
      <c r="B79" s="280"/>
      <c r="C79" s="280"/>
      <c r="D79" s="280"/>
      <c r="E79" s="280"/>
    </row>
    <row r="80" spans="1:7" s="54" customFormat="1">
      <c r="A80" s="275" t="s">
        <v>489</v>
      </c>
      <c r="B80" s="275"/>
      <c r="C80">
        <v>3</v>
      </c>
      <c r="D80" s="129">
        <f>F52</f>
        <v>782000</v>
      </c>
      <c r="E80" s="129">
        <f>C80*D80</f>
        <v>2346000</v>
      </c>
    </row>
    <row r="81" spans="1:6" s="54" customFormat="1">
      <c r="A81" s="276" t="s">
        <v>530</v>
      </c>
      <c r="B81" s="276"/>
      <c r="C81" s="163">
        <v>1</v>
      </c>
      <c r="D81" s="129">
        <f>F24</f>
        <v>37000</v>
      </c>
      <c r="E81" s="129">
        <f>C81*D81</f>
        <v>37000</v>
      </c>
    </row>
    <row r="82" spans="1:6" s="54" customFormat="1" ht="24" customHeight="1">
      <c r="A82" s="276" t="s">
        <v>700</v>
      </c>
      <c r="B82" s="276"/>
      <c r="C82" s="163">
        <v>3</v>
      </c>
      <c r="D82" s="129">
        <f>F77</f>
        <v>276000</v>
      </c>
      <c r="E82" s="129">
        <f>C82*D82</f>
        <v>828000</v>
      </c>
    </row>
    <row r="83" spans="1:6" s="54" customFormat="1" ht="24" customHeight="1">
      <c r="A83" s="276" t="s">
        <v>704</v>
      </c>
      <c r="B83" s="276"/>
      <c r="C83" s="163">
        <v>1</v>
      </c>
      <c r="D83" s="129">
        <f>F65</f>
        <v>520000</v>
      </c>
      <c r="E83" s="129">
        <f>C83*D83</f>
        <v>520000</v>
      </c>
    </row>
    <row r="84" spans="1:6" s="54" customFormat="1">
      <c r="A84"/>
      <c r="B84"/>
      <c r="C84" s="129"/>
      <c r="D84"/>
      <c r="E84"/>
    </row>
    <row r="85" spans="1:6" s="54" customFormat="1">
      <c r="A85" t="s">
        <v>487</v>
      </c>
      <c r="B85"/>
      <c r="C85" s="129"/>
      <c r="D85"/>
      <c r="E85">
        <v>30</v>
      </c>
    </row>
    <row r="86" spans="1:6" s="54" customFormat="1">
      <c r="A86" t="s">
        <v>486</v>
      </c>
      <c r="B86"/>
      <c r="C86" s="129"/>
      <c r="D86"/>
      <c r="E86" s="131">
        <f>E81*E85</f>
        <v>1110000</v>
      </c>
    </row>
    <row r="87" spans="1:6" s="54" customFormat="1">
      <c r="A87"/>
      <c r="B87"/>
      <c r="C87" s="129"/>
      <c r="D87"/>
      <c r="E87"/>
    </row>
    <row r="88" spans="1:6" s="54" customFormat="1">
      <c r="A88"/>
      <c r="B88"/>
      <c r="C88"/>
      <c r="D88"/>
      <c r="E88"/>
      <c r="F88"/>
    </row>
    <row r="89" spans="1:6" s="54" customFormat="1" ht="15.75" thickBot="1">
      <c r="A89" s="132" t="s">
        <v>491</v>
      </c>
      <c r="B89" s="132"/>
      <c r="C89" s="132"/>
      <c r="D89" s="132"/>
      <c r="E89" s="133">
        <f>E80+E86+E82+E83</f>
        <v>4804000</v>
      </c>
      <c r="F89"/>
    </row>
    <row r="90" spans="1:6" s="54" customFormat="1" ht="15.75" thickTop="1">
      <c r="B90" s="151"/>
    </row>
    <row r="91" spans="1:6" s="54" customFormat="1">
      <c r="B91" s="151"/>
    </row>
    <row r="92" spans="1:6" s="54" customFormat="1">
      <c r="B92" s="151"/>
    </row>
    <row r="93" spans="1:6" s="54" customFormat="1">
      <c r="B93" s="151"/>
    </row>
    <row r="94" spans="1:6" s="54" customFormat="1">
      <c r="B94" s="151"/>
    </row>
    <row r="95" spans="1:6" s="54" customFormat="1">
      <c r="B95" s="151"/>
    </row>
    <row r="96" spans="1:6" s="54" customFormat="1">
      <c r="B96" s="151"/>
    </row>
    <row r="97" spans="2:2" s="54" customFormat="1">
      <c r="B97" s="151"/>
    </row>
    <row r="98" spans="2:2" s="54" customFormat="1">
      <c r="B98" s="151"/>
    </row>
    <row r="99" spans="2:2" s="54" customFormat="1">
      <c r="B99" s="151"/>
    </row>
    <row r="100" spans="2:2" s="54" customFormat="1">
      <c r="B100" s="151"/>
    </row>
    <row r="101" spans="2:2" s="54" customFormat="1">
      <c r="B101" s="151"/>
    </row>
    <row r="102" spans="2:2" s="54" customFormat="1">
      <c r="B102" s="151"/>
    </row>
    <row r="103" spans="2:2" s="54" customFormat="1">
      <c r="B103" s="151"/>
    </row>
    <row r="104" spans="2:2" s="54" customFormat="1">
      <c r="B104" s="151"/>
    </row>
    <row r="105" spans="2:2" s="54" customFormat="1">
      <c r="B105" s="151"/>
    </row>
  </sheetData>
  <mergeCells count="60">
    <mergeCell ref="A68:F68"/>
    <mergeCell ref="A51:E51"/>
    <mergeCell ref="A1:F1"/>
    <mergeCell ref="A2:F2"/>
    <mergeCell ref="A3:F3"/>
    <mergeCell ref="A4:F4"/>
    <mergeCell ref="A6:F6"/>
    <mergeCell ref="A7:F7"/>
    <mergeCell ref="A8:A9"/>
    <mergeCell ref="B8:B9"/>
    <mergeCell ref="C8:C9"/>
    <mergeCell ref="D8:D9"/>
    <mergeCell ref="E8:E9"/>
    <mergeCell ref="F8:F9"/>
    <mergeCell ref="A24:E24"/>
    <mergeCell ref="A27:F27"/>
    <mergeCell ref="A65:E65"/>
    <mergeCell ref="A79:E79"/>
    <mergeCell ref="A80:B80"/>
    <mergeCell ref="A81:B81"/>
    <mergeCell ref="A28:F28"/>
    <mergeCell ref="A29:A30"/>
    <mergeCell ref="B29:B30"/>
    <mergeCell ref="C29:C30"/>
    <mergeCell ref="D29:D30"/>
    <mergeCell ref="E29:E30"/>
    <mergeCell ref="F29:F30"/>
    <mergeCell ref="A52:E52"/>
    <mergeCell ref="A47:E47"/>
    <mergeCell ref="A48:E48"/>
    <mergeCell ref="A49:E49"/>
    <mergeCell ref="A50:E50"/>
    <mergeCell ref="A60:E60"/>
    <mergeCell ref="A61:E61"/>
    <mergeCell ref="A62:E62"/>
    <mergeCell ref="A63:E63"/>
    <mergeCell ref="A64:E64"/>
    <mergeCell ref="A55:F55"/>
    <mergeCell ref="A56:A57"/>
    <mergeCell ref="B56:B57"/>
    <mergeCell ref="C56:C57"/>
    <mergeCell ref="D56:D57"/>
    <mergeCell ref="E56:E57"/>
    <mergeCell ref="F56:F57"/>
    <mergeCell ref="A76:E76"/>
    <mergeCell ref="A77:E77"/>
    <mergeCell ref="A54:G54"/>
    <mergeCell ref="A67:G67"/>
    <mergeCell ref="A83:B83"/>
    <mergeCell ref="F69:F70"/>
    <mergeCell ref="A72:E72"/>
    <mergeCell ref="A73:E73"/>
    <mergeCell ref="A74:E74"/>
    <mergeCell ref="A75:E75"/>
    <mergeCell ref="A69:A70"/>
    <mergeCell ref="B69:B70"/>
    <mergeCell ref="C69:C70"/>
    <mergeCell ref="D69:D70"/>
    <mergeCell ref="E69:E70"/>
    <mergeCell ref="A82:B82"/>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C0F3F-257C-4E60-9019-6B93152546E3}">
  <dimension ref="A1:I49"/>
  <sheetViews>
    <sheetView topLeftCell="A34" zoomScaleNormal="100" workbookViewId="0">
      <selection activeCell="A48" sqref="A48:B48"/>
    </sheetView>
  </sheetViews>
  <sheetFormatPr defaultRowHeight="15"/>
  <cols>
    <col min="1" max="1" width="8.140625" customWidth="1"/>
    <col min="2" max="2" width="8" customWidth="1"/>
    <col min="3" max="3" width="11.28515625" customWidth="1"/>
    <col min="4" max="4" width="12.28515625" customWidth="1"/>
    <col min="5" max="5" width="12.5703125" customWidth="1"/>
    <col min="6" max="6" width="13.140625" customWidth="1"/>
    <col min="7" max="7" width="14.42578125" customWidth="1"/>
    <col min="8" max="8" width="13.28515625" customWidth="1"/>
    <col min="9" max="10" width="22.140625" customWidth="1"/>
    <col min="11" max="11" width="21.140625" bestFit="1" customWidth="1"/>
    <col min="12" max="12" width="19" bestFit="1" customWidth="1"/>
    <col min="13" max="13" width="15.28515625" bestFit="1" customWidth="1"/>
    <col min="14" max="14" width="21.85546875" bestFit="1" customWidth="1"/>
    <col min="15" max="15" width="18.140625" bestFit="1" customWidth="1"/>
    <col min="16" max="17" width="15.5703125" bestFit="1" customWidth="1"/>
    <col min="18" max="18" width="19.42578125" bestFit="1" customWidth="1"/>
    <col min="19" max="19" width="20.140625" bestFit="1" customWidth="1"/>
    <col min="20" max="20" width="15.7109375" bestFit="1" customWidth="1"/>
  </cols>
  <sheetData>
    <row r="1" spans="1:9" ht="23.25">
      <c r="A1" s="262" t="s">
        <v>10</v>
      </c>
      <c r="B1" s="262"/>
      <c r="C1" s="262"/>
      <c r="D1" s="262"/>
      <c r="E1" s="262"/>
      <c r="F1" s="262"/>
      <c r="G1" s="262"/>
      <c r="H1" s="262"/>
    </row>
    <row r="2" spans="1:9" ht="20.25" thickBot="1">
      <c r="A2" s="263" t="s">
        <v>9</v>
      </c>
      <c r="B2" s="263"/>
      <c r="C2" s="263"/>
      <c r="D2" s="263"/>
      <c r="E2" s="263"/>
      <c r="F2" s="263"/>
      <c r="G2" s="263"/>
      <c r="H2" s="263"/>
    </row>
    <row r="3" spans="1:9" ht="21" thickTop="1" thickBot="1">
      <c r="A3" s="268" t="s">
        <v>1</v>
      </c>
      <c r="B3" s="268"/>
      <c r="C3" s="268"/>
      <c r="D3" s="268"/>
      <c r="E3" s="268"/>
      <c r="F3" s="268"/>
      <c r="G3" s="268"/>
      <c r="H3" s="268"/>
    </row>
    <row r="4" spans="1:9" ht="16.5" thickTop="1" thickBot="1">
      <c r="A4" s="313" t="s">
        <v>495</v>
      </c>
      <c r="B4" s="313"/>
      <c r="C4" s="313"/>
      <c r="D4" s="313"/>
      <c r="E4" s="313"/>
      <c r="F4" s="313"/>
      <c r="G4" s="313"/>
      <c r="H4" s="313"/>
    </row>
    <row r="6" spans="1:9" s="54" customFormat="1" ht="99.95" customHeight="1">
      <c r="A6" s="61" t="s">
        <v>25</v>
      </c>
      <c r="B6" s="61" t="s">
        <v>493</v>
      </c>
      <c r="C6" s="61" t="s">
        <v>496</v>
      </c>
      <c r="D6" s="61" t="s">
        <v>532</v>
      </c>
      <c r="E6" s="61" t="s">
        <v>535</v>
      </c>
      <c r="F6" s="61" t="s">
        <v>536</v>
      </c>
      <c r="G6" s="61" t="s">
        <v>533</v>
      </c>
      <c r="H6" s="61" t="s">
        <v>534</v>
      </c>
      <c r="I6"/>
    </row>
    <row r="7" spans="1:9" s="54" customFormat="1">
      <c r="A7" s="54">
        <v>2019</v>
      </c>
      <c r="C7" s="65">
        <v>0</v>
      </c>
      <c r="D7" s="66">
        <f>C7/Discount!B3</f>
        <v>0</v>
      </c>
      <c r="E7" s="65">
        <v>0</v>
      </c>
      <c r="F7" s="66">
        <f>E7/Discount!B3</f>
        <v>0</v>
      </c>
      <c r="G7" s="65">
        <f>C7+E7</f>
        <v>0</v>
      </c>
      <c r="H7" s="66">
        <f>G7/Discount!B3</f>
        <v>0</v>
      </c>
      <c r="I7"/>
    </row>
    <row r="8" spans="1:9" s="54" customFormat="1">
      <c r="A8" s="54">
        <v>2020</v>
      </c>
      <c r="C8" s="65">
        <v>0</v>
      </c>
      <c r="D8" s="66">
        <f>C8/Discount!B4</f>
        <v>0</v>
      </c>
      <c r="E8" s="65">
        <v>0</v>
      </c>
      <c r="F8" s="66">
        <f>E8/Discount!B4</f>
        <v>0</v>
      </c>
      <c r="G8" s="65">
        <f t="shared" ref="G8:G47" si="0">C8+E8</f>
        <v>0</v>
      </c>
      <c r="H8" s="66">
        <f>G8/Discount!B4</f>
        <v>0</v>
      </c>
      <c r="I8"/>
    </row>
    <row r="9" spans="1:9" s="54" customFormat="1">
      <c r="A9" s="54">
        <v>2021</v>
      </c>
      <c r="C9" s="65">
        <v>0</v>
      </c>
      <c r="D9" s="66">
        <f>C9/Discount!B5</f>
        <v>0</v>
      </c>
      <c r="E9" s="65">
        <v>0</v>
      </c>
      <c r="F9" s="66">
        <f>E9/Discount!B5</f>
        <v>0</v>
      </c>
      <c r="G9" s="65">
        <f t="shared" si="0"/>
        <v>0</v>
      </c>
      <c r="H9" s="66">
        <f>G9/Discount!B5</f>
        <v>0</v>
      </c>
      <c r="I9"/>
    </row>
    <row r="10" spans="1:9" s="54" customFormat="1">
      <c r="A10" s="54">
        <v>2022</v>
      </c>
      <c r="C10" s="65">
        <v>0</v>
      </c>
      <c r="D10" s="66">
        <f>C10/Discount!B6</f>
        <v>0</v>
      </c>
      <c r="E10" s="65">
        <v>0</v>
      </c>
      <c r="F10" s="66">
        <f>E10/Discount!B6</f>
        <v>0</v>
      </c>
      <c r="G10" s="65">
        <f t="shared" si="0"/>
        <v>0</v>
      </c>
      <c r="H10" s="66">
        <f>G10/Discount!B6</f>
        <v>0</v>
      </c>
      <c r="I10"/>
    </row>
    <row r="11" spans="1:9" s="54" customFormat="1">
      <c r="A11" s="54">
        <v>2023</v>
      </c>
      <c r="C11" s="65">
        <f>'NoBuild-Deferred Maintenance'!E73</f>
        <v>845000</v>
      </c>
      <c r="D11" s="66">
        <f>C11/Discount!B7</f>
        <v>644646.45418015879</v>
      </c>
      <c r="E11" s="65">
        <f>'NoBuild-Required Safety Improve'!E71</f>
        <v>4399999.9979999997</v>
      </c>
      <c r="F11" s="66">
        <f>E11/Discount!B7</f>
        <v>3356738.9314833204</v>
      </c>
      <c r="G11" s="65">
        <f t="shared" si="0"/>
        <v>5244999.9979999997</v>
      </c>
      <c r="H11" s="66">
        <f>G11/Discount!B7</f>
        <v>4001385.3856634791</v>
      </c>
      <c r="I11"/>
    </row>
    <row r="12" spans="1:9" s="54" customFormat="1">
      <c r="A12" s="54">
        <v>2024</v>
      </c>
      <c r="C12" s="65">
        <f>'NoBuild-Deferred Maintenance'!$E$76</f>
        <v>200945.94594594595</v>
      </c>
      <c r="D12" s="66">
        <f>C12/Discount!B8</f>
        <v>143271.68228273172</v>
      </c>
      <c r="E12" s="65">
        <f>'NoBuild-Required Safety Improve'!$E$72</f>
        <v>65000</v>
      </c>
      <c r="F12" s="66">
        <f>E12/Discount!B8</f>
        <v>46344.101666438444</v>
      </c>
      <c r="G12" s="65">
        <f t="shared" si="0"/>
        <v>265945.94594594592</v>
      </c>
      <c r="H12" s="66">
        <f>G12/Discount!B8</f>
        <v>189615.78394917015</v>
      </c>
      <c r="I12"/>
    </row>
    <row r="13" spans="1:9" s="54" customFormat="1">
      <c r="A13" s="54">
        <v>2025</v>
      </c>
      <c r="C13" s="65">
        <f>'NoBuild-Deferred Maintenance'!$E$76</f>
        <v>200945.94594594595</v>
      </c>
      <c r="D13" s="66">
        <f>C13/Discount!B9</f>
        <v>133898.76848853435</v>
      </c>
      <c r="E13" s="65">
        <f>'NoBuild-Required Safety Improve'!$E$72</f>
        <v>65000</v>
      </c>
      <c r="F13" s="66">
        <f>E13/Discount!B9</f>
        <v>43312.244548073315</v>
      </c>
      <c r="G13" s="65">
        <f t="shared" si="0"/>
        <v>265945.94594594592</v>
      </c>
      <c r="H13" s="66">
        <f>G13/Discount!B9</f>
        <v>177211.01303660765</v>
      </c>
      <c r="I13"/>
    </row>
    <row r="14" spans="1:9" s="54" customFormat="1">
      <c r="A14" s="54">
        <v>2026</v>
      </c>
      <c r="C14" s="65">
        <f>'NoBuild-Deferred Maintenance'!$E$76</f>
        <v>200945.94594594595</v>
      </c>
      <c r="D14" s="66">
        <f>C14/Discount!B10</f>
        <v>125139.03597059284</v>
      </c>
      <c r="E14" s="65">
        <f>'NoBuild-Required Safety Improve'!$E$72</f>
        <v>65000</v>
      </c>
      <c r="F14" s="66">
        <f>E14/Discount!B10</f>
        <v>40478.73322249842</v>
      </c>
      <c r="G14" s="65">
        <f t="shared" si="0"/>
        <v>265945.94594594592</v>
      </c>
      <c r="H14" s="66">
        <f>G14/Discount!B10</f>
        <v>165617.76919309123</v>
      </c>
      <c r="I14"/>
    </row>
    <row r="15" spans="1:9" s="54" customFormat="1">
      <c r="A15" s="54">
        <v>2027</v>
      </c>
      <c r="C15" s="65">
        <f>'NoBuild-Deferred Maintenance'!$E$76</f>
        <v>200945.94594594595</v>
      </c>
      <c r="D15" s="66">
        <f>C15/Discount!B11</f>
        <v>116952.37006597461</v>
      </c>
      <c r="E15" s="65">
        <f>'NoBuild-Required Safety Improve'!$E$72</f>
        <v>65000</v>
      </c>
      <c r="F15" s="66">
        <f>E15/Discount!B11</f>
        <v>37830.591796727502</v>
      </c>
      <c r="G15" s="65">
        <f t="shared" si="0"/>
        <v>265945.94594594592</v>
      </c>
      <c r="H15" s="66">
        <f>G15/Discount!B11</f>
        <v>154782.9618627021</v>
      </c>
      <c r="I15"/>
    </row>
    <row r="16" spans="1:9" s="54" customFormat="1">
      <c r="A16" s="54">
        <v>2028</v>
      </c>
      <c r="C16" s="65">
        <f>'NoBuild-Deferred Maintenance'!$E$76</f>
        <v>200945.94594594595</v>
      </c>
      <c r="D16" s="66">
        <f>C16/Discount!B12</f>
        <v>109301.28043549028</v>
      </c>
      <c r="E16" s="65">
        <f>'NoBuild-Required Safety Improve'!$E$72</f>
        <v>65000</v>
      </c>
      <c r="F16" s="66">
        <f>E16/Discount!B12</f>
        <v>35355.693267969618</v>
      </c>
      <c r="G16" s="65">
        <f t="shared" si="0"/>
        <v>265945.94594594592</v>
      </c>
      <c r="H16" s="66">
        <f>G16/Discount!B12</f>
        <v>144656.97370345989</v>
      </c>
      <c r="I16"/>
    </row>
    <row r="17" spans="1:9" s="54" customFormat="1">
      <c r="A17" s="54">
        <v>2029</v>
      </c>
      <c r="C17" s="65">
        <f>'NoBuild-Deferred Maintenance'!$E$76</f>
        <v>200945.94594594595</v>
      </c>
      <c r="D17" s="66">
        <f>C17/Discount!B13</f>
        <v>102150.72937896289</v>
      </c>
      <c r="E17" s="65">
        <f>'NoBuild-Required Safety Improve'!$E$72</f>
        <v>65000</v>
      </c>
      <c r="F17" s="66">
        <f>E17/Discount!B13</f>
        <v>33042.703988756657</v>
      </c>
      <c r="G17" s="65">
        <f t="shared" si="0"/>
        <v>265945.94594594592</v>
      </c>
      <c r="H17" s="66">
        <f>G17/Discount!B13</f>
        <v>135193.43336771952</v>
      </c>
      <c r="I17"/>
    </row>
    <row r="18" spans="1:9" s="54" customFormat="1">
      <c r="A18" s="54">
        <v>2030</v>
      </c>
      <c r="B18" s="54">
        <v>1</v>
      </c>
      <c r="C18" s="65">
        <f>'NoBuild-Deferred Maintenance'!$E$76</f>
        <v>200945.94594594595</v>
      </c>
      <c r="D18" s="66">
        <f>C18/Discount!B14</f>
        <v>95467.971382208299</v>
      </c>
      <c r="E18" s="65">
        <f>'NoBuild-Required Safety Improve'!$E$72</f>
        <v>65000</v>
      </c>
      <c r="F18" s="66">
        <f>E18/Discount!B14</f>
        <v>30881.031765193133</v>
      </c>
      <c r="G18" s="65">
        <f t="shared" si="0"/>
        <v>265945.94594594592</v>
      </c>
      <c r="H18" s="66">
        <f>G18/Discount!B14</f>
        <v>126349.00314740141</v>
      </c>
      <c r="I18"/>
    </row>
    <row r="19" spans="1:9" s="54" customFormat="1">
      <c r="A19" s="54">
        <v>2031</v>
      </c>
      <c r="B19" s="54">
        <v>2</v>
      </c>
      <c r="C19" s="65">
        <f>'NoBuild-Deferred Maintenance'!$E$76</f>
        <v>200945.94594594595</v>
      </c>
      <c r="D19" s="66">
        <f>C19/Discount!B15</f>
        <v>89222.403160942355</v>
      </c>
      <c r="E19" s="65">
        <f>'NoBuild-Required Safety Improve'!$E$72</f>
        <v>65000</v>
      </c>
      <c r="F19" s="66">
        <f>E19/Discount!B15</f>
        <v>28860.777350647793</v>
      </c>
      <c r="G19" s="65">
        <f t="shared" si="0"/>
        <v>265945.94594594592</v>
      </c>
      <c r="H19" s="66">
        <f>G19/Discount!B15</f>
        <v>118083.18051159012</v>
      </c>
      <c r="I19"/>
    </row>
    <row r="20" spans="1:9" s="54" customFormat="1">
      <c r="A20" s="54">
        <v>2032</v>
      </c>
      <c r="B20" s="54">
        <v>3</v>
      </c>
      <c r="C20" s="65">
        <f>'NoBuild-Deferred Maintenance'!$E$76</f>
        <v>200945.94594594595</v>
      </c>
      <c r="D20" s="66">
        <f>C20/Discount!B16</f>
        <v>83385.42351489939</v>
      </c>
      <c r="E20" s="65">
        <f>'NoBuild-Required Safety Improve'!$E$72</f>
        <v>65000</v>
      </c>
      <c r="F20" s="66">
        <f>E20/Discount!B16</f>
        <v>26972.689112754946</v>
      </c>
      <c r="G20" s="65">
        <f t="shared" si="0"/>
        <v>265945.94594594592</v>
      </c>
      <c r="H20" s="66">
        <f>G20/Discount!B16</f>
        <v>110358.11262765432</v>
      </c>
      <c r="I20"/>
    </row>
    <row r="21" spans="1:9" s="54" customFormat="1">
      <c r="A21" s="54">
        <v>2033</v>
      </c>
      <c r="B21" s="54">
        <v>4</v>
      </c>
      <c r="C21" s="65">
        <f>'NoBuild-Deferred Maintenance'!$E$76</f>
        <v>200945.94594594595</v>
      </c>
      <c r="D21" s="66">
        <f>C21/Discount!B17</f>
        <v>77930.302350373255</v>
      </c>
      <c r="E21" s="65">
        <f>'NoBuild-Required Safety Improve'!$E$72</f>
        <v>65000</v>
      </c>
      <c r="F21" s="66">
        <f>E21/Discount!B17</f>
        <v>25208.120666126117</v>
      </c>
      <c r="G21" s="65">
        <f t="shared" si="0"/>
        <v>265945.94594594592</v>
      </c>
      <c r="H21" s="66">
        <f>G21/Discount!B17</f>
        <v>103138.42301649936</v>
      </c>
      <c r="I21"/>
    </row>
    <row r="22" spans="1:9" s="54" customFormat="1">
      <c r="A22" s="54">
        <v>2034</v>
      </c>
      <c r="B22" s="54">
        <v>5</v>
      </c>
      <c r="C22" s="65">
        <f>'NoBuild-Deferred Maintenance'!$E$76</f>
        <v>200945.94594594595</v>
      </c>
      <c r="D22" s="66">
        <f>C22/Discount!B18</f>
        <v>72832.058271376867</v>
      </c>
      <c r="E22" s="65">
        <f>'NoBuild-Required Safety Improve'!$E$72</f>
        <v>65000</v>
      </c>
      <c r="F22" s="66">
        <f>E22/Discount!B18</f>
        <v>23558.991276753379</v>
      </c>
      <c r="G22" s="65">
        <f t="shared" si="0"/>
        <v>265945.94594594592</v>
      </c>
      <c r="H22" s="66">
        <f>G22/Discount!B18</f>
        <v>96391.049548130235</v>
      </c>
      <c r="I22"/>
    </row>
    <row r="23" spans="1:9" s="54" customFormat="1">
      <c r="A23" s="54">
        <v>2035</v>
      </c>
      <c r="B23" s="54">
        <v>6</v>
      </c>
      <c r="C23" s="65">
        <f>'NoBuild-Deferred Maintenance'!$E$76</f>
        <v>200945.94594594595</v>
      </c>
      <c r="D23" s="66">
        <f>C23/Discount!B19</f>
        <v>68067.344178856903</v>
      </c>
      <c r="E23" s="65">
        <f>'NoBuild-Required Safety Improve'!$E$72</f>
        <v>65000</v>
      </c>
      <c r="F23" s="66">
        <f>E23/Discount!B19</f>
        <v>22017.74885677886</v>
      </c>
      <c r="G23" s="65">
        <f t="shared" si="0"/>
        <v>265945.94594594592</v>
      </c>
      <c r="H23" s="66">
        <f>G23/Discount!B19</f>
        <v>90085.093035635742</v>
      </c>
      <c r="I23"/>
    </row>
    <row r="24" spans="1:9" s="54" customFormat="1">
      <c r="A24" s="54">
        <v>2036</v>
      </c>
      <c r="B24" s="54">
        <v>7</v>
      </c>
      <c r="C24" s="65">
        <f>'NoBuild-Deferred Maintenance'!$E$76</f>
        <v>200945.94594594595</v>
      </c>
      <c r="D24" s="66">
        <f>C24/Discount!B20</f>
        <v>63614.340354071865</v>
      </c>
      <c r="E24" s="65">
        <f>'NoBuild-Required Safety Improve'!$E$72</f>
        <v>65000</v>
      </c>
      <c r="F24" s="66">
        <f>E24/Discount!B20</f>
        <v>20577.335380167162</v>
      </c>
      <c r="G24" s="65">
        <f t="shared" si="0"/>
        <v>265945.94594594592</v>
      </c>
      <c r="H24" s="66">
        <f>G24/Discount!B20</f>
        <v>84191.675734239019</v>
      </c>
      <c r="I24"/>
    </row>
    <row r="25" spans="1:9" s="54" customFormat="1">
      <c r="A25" s="54">
        <v>2037</v>
      </c>
      <c r="B25" s="54">
        <v>8</v>
      </c>
      <c r="C25" s="65">
        <f>'NoBuild-Deferred Maintenance'!$E$76</f>
        <v>200945.94594594595</v>
      </c>
      <c r="D25" s="66">
        <f>C25/Discount!B21</f>
        <v>59452.654536515758</v>
      </c>
      <c r="E25" s="65">
        <f>'NoBuild-Required Safety Improve'!$E$72</f>
        <v>65000</v>
      </c>
      <c r="F25" s="66">
        <f>E25/Discount!B21</f>
        <v>19231.154560903888</v>
      </c>
      <c r="G25" s="65">
        <f t="shared" si="0"/>
        <v>265945.94594594592</v>
      </c>
      <c r="H25" s="66">
        <f>G25/Discount!B21</f>
        <v>78683.809097419638</v>
      </c>
      <c r="I25"/>
    </row>
    <row r="26" spans="1:9" s="54" customFormat="1">
      <c r="A26" s="54">
        <v>2038</v>
      </c>
      <c r="B26" s="54">
        <v>9</v>
      </c>
      <c r="C26" s="65">
        <f>'NoBuild-Deferred Maintenance'!$E$76</f>
        <v>200945.94594594595</v>
      </c>
      <c r="D26" s="66">
        <f>C26/Discount!B22</f>
        <v>55563.228538799776</v>
      </c>
      <c r="E26" s="65">
        <f>'NoBuild-Required Safety Improve'!$E$72</f>
        <v>65000</v>
      </c>
      <c r="F26" s="66">
        <f>E26/Discount!B22</f>
        <v>17973.041645704569</v>
      </c>
      <c r="G26" s="65">
        <f t="shared" si="0"/>
        <v>265945.94594594592</v>
      </c>
      <c r="H26" s="66">
        <f>G26/Discount!B22</f>
        <v>73536.270184504334</v>
      </c>
      <c r="I26"/>
    </row>
    <row r="27" spans="1:9" s="54" customFormat="1">
      <c r="A27" s="54">
        <v>2039</v>
      </c>
      <c r="B27" s="54">
        <v>10</v>
      </c>
      <c r="C27" s="65">
        <f>'NoBuild-Deferred Maintenance'!$E$76</f>
        <v>200945.94594594595</v>
      </c>
      <c r="D27" s="66">
        <f>C27/Discount!B23</f>
        <v>51928.250970840912</v>
      </c>
      <c r="E27" s="65">
        <f>'NoBuild-Required Safety Improve'!$E$72</f>
        <v>65000</v>
      </c>
      <c r="F27" s="66">
        <f>E27/Discount!B23</f>
        <v>16797.235182901466</v>
      </c>
      <c r="G27" s="65">
        <f t="shared" si="0"/>
        <v>265945.94594594592</v>
      </c>
      <c r="H27" s="66">
        <f>G27/Discount!B23</f>
        <v>68725.486153742371</v>
      </c>
      <c r="I27"/>
    </row>
    <row r="28" spans="1:9" s="54" customFormat="1">
      <c r="A28" s="54">
        <v>2040</v>
      </c>
      <c r="B28" s="54">
        <v>11</v>
      </c>
      <c r="C28" s="65">
        <f>'NoBuild-Deferred Maintenance'!$E$76</f>
        <v>200945.94594594595</v>
      </c>
      <c r="D28" s="66">
        <f>C28/Discount!B24</f>
        <v>48531.075673683095</v>
      </c>
      <c r="E28" s="65">
        <f>'NoBuild-Required Safety Improve'!$E$72</f>
        <v>65000</v>
      </c>
      <c r="F28" s="66">
        <f>E28/Discount!B24</f>
        <v>15698.350638225667</v>
      </c>
      <c r="G28" s="65">
        <f t="shared" si="0"/>
        <v>265945.94594594592</v>
      </c>
      <c r="H28" s="66">
        <f>G28/Discount!B24</f>
        <v>64229.426311908755</v>
      </c>
      <c r="I28"/>
    </row>
    <row r="29" spans="1:9" s="54" customFormat="1">
      <c r="A29" s="54">
        <v>2041</v>
      </c>
      <c r="B29" s="54">
        <v>12</v>
      </c>
      <c r="C29" s="65">
        <f>'NoBuild-Deferred Maintenance'!$E$76</f>
        <v>200945.94594594595</v>
      </c>
      <c r="D29" s="66">
        <f>C29/Discount!B25</f>
        <v>45356.145489423456</v>
      </c>
      <c r="E29" s="65">
        <f>'NoBuild-Required Safety Improve'!$E$72</f>
        <v>65000</v>
      </c>
      <c r="F29" s="66">
        <f>E29/Discount!B25</f>
        <v>14671.355736659503</v>
      </c>
      <c r="G29" s="65">
        <f t="shared" si="0"/>
        <v>265945.94594594592</v>
      </c>
      <c r="H29" s="66">
        <f>G29/Discount!B25</f>
        <v>60027.501226082946</v>
      </c>
      <c r="I29"/>
    </row>
    <row r="30" spans="1:9" s="54" customFormat="1">
      <c r="A30" s="54">
        <v>2042</v>
      </c>
      <c r="B30" s="54">
        <v>13</v>
      </c>
      <c r="C30" s="65">
        <f>'NoBuild-Deferred Maintenance'!$E$76</f>
        <v>200945.94594594595</v>
      </c>
      <c r="D30" s="66">
        <f>C30/Discount!B26</f>
        <v>42388.92101815276</v>
      </c>
      <c r="E30" s="65">
        <f>'NoBuild-Required Safety Improve'!$E$72</f>
        <v>65000</v>
      </c>
      <c r="F30" s="66">
        <f>E30/Discount!B26</f>
        <v>13711.547417438787</v>
      </c>
      <c r="G30" s="65">
        <f t="shared" si="0"/>
        <v>265945.94594594592</v>
      </c>
      <c r="H30" s="66">
        <f>G30/Discount!B26</f>
        <v>56100.468435591538</v>
      </c>
      <c r="I30"/>
    </row>
    <row r="31" spans="1:9" s="54" customFormat="1">
      <c r="A31" s="54">
        <v>2043</v>
      </c>
      <c r="B31" s="54">
        <v>14</v>
      </c>
      <c r="C31" s="65">
        <f>'NoBuild-Deferred Maintenance'!$E$76</f>
        <v>200945.94594594595</v>
      </c>
      <c r="D31" s="66">
        <f>C31/Discount!B27</f>
        <v>39615.814035656782</v>
      </c>
      <c r="E31" s="65">
        <f>'NoBuild-Required Safety Improve'!$E$72</f>
        <v>65000</v>
      </c>
      <c r="F31" s="66">
        <f>E31/Discount!B27</f>
        <v>12814.530296671763</v>
      </c>
      <c r="G31" s="65">
        <f t="shared" si="0"/>
        <v>265945.94594594592</v>
      </c>
      <c r="H31" s="66">
        <f>G31/Discount!B27</f>
        <v>52430.344332328539</v>
      </c>
      <c r="I31"/>
    </row>
    <row r="32" spans="1:9" s="54" customFormat="1">
      <c r="A32" s="54">
        <v>2044</v>
      </c>
      <c r="B32" s="54">
        <v>15</v>
      </c>
      <c r="C32" s="65">
        <f>'NoBuild-Deferred Maintenance'!$E$76</f>
        <v>200945.94594594595</v>
      </c>
      <c r="D32" s="66">
        <f>C32/Discount!B28</f>
        <v>37024.125266968949</v>
      </c>
      <c r="E32" s="65">
        <f>'NoBuild-Required Safety Improve'!$E$72</f>
        <v>65000</v>
      </c>
      <c r="F32" s="66">
        <f>E32/Discount!B28</f>
        <v>11976.196538945573</v>
      </c>
      <c r="G32" s="65">
        <f t="shared" si="0"/>
        <v>265945.94594594592</v>
      </c>
      <c r="H32" s="66">
        <f>G32/Discount!B28</f>
        <v>49000.321805914522</v>
      </c>
      <c r="I32"/>
    </row>
    <row r="33" spans="1:9" s="54" customFormat="1">
      <c r="A33" s="54">
        <v>2045</v>
      </c>
      <c r="B33" s="54">
        <v>16</v>
      </c>
      <c r="C33" s="65">
        <f>'NoBuild-Deferred Maintenance'!$E$76</f>
        <v>200945.94594594595</v>
      </c>
      <c r="D33" s="66">
        <f>C33/Discount!B29</f>
        <v>34601.986230812108</v>
      </c>
      <c r="E33" s="65">
        <f>'NoBuild-Required Safety Improve'!$E$72</f>
        <v>65000</v>
      </c>
      <c r="F33" s="66">
        <f>E33/Discount!B29</f>
        <v>11192.707045743527</v>
      </c>
      <c r="G33" s="65">
        <f t="shared" si="0"/>
        <v>265945.94594594592</v>
      </c>
      <c r="H33" s="66">
        <f>G33/Discount!B29</f>
        <v>45794.693276555634</v>
      </c>
      <c r="I33"/>
    </row>
    <row r="34" spans="1:9" s="54" customFormat="1">
      <c r="A34" s="54">
        <v>2046</v>
      </c>
      <c r="B34" s="54">
        <v>17</v>
      </c>
      <c r="C34" s="65">
        <f>'NoBuild-Deferred Maintenance'!$E$76</f>
        <v>200945.94594594595</v>
      </c>
      <c r="D34" s="66">
        <f>C34/Discount!B30</f>
        <v>32338.30488860944</v>
      </c>
      <c r="E34" s="65">
        <f>'NoBuild-Required Safety Improve'!$E$72</f>
        <v>65000</v>
      </c>
      <c r="F34" s="66">
        <f>E34/Discount!B30</f>
        <v>10460.473874526659</v>
      </c>
      <c r="G34" s="65">
        <f t="shared" si="0"/>
        <v>265945.94594594592</v>
      </c>
      <c r="H34" s="66">
        <f>G34/Discount!B30</f>
        <v>42798.778763136092</v>
      </c>
      <c r="I34"/>
    </row>
    <row r="35" spans="1:9" s="54" customFormat="1">
      <c r="A35" s="54">
        <v>2047</v>
      </c>
      <c r="B35" s="54">
        <v>18</v>
      </c>
      <c r="C35" s="65">
        <f>'NoBuild-Deferred Maintenance'!$E$76</f>
        <v>200945.94594594595</v>
      </c>
      <c r="D35" s="66">
        <f>C35/Discount!B31</f>
        <v>30222.714849167707</v>
      </c>
      <c r="E35" s="65">
        <f>'NoBuild-Required Safety Improve'!$E$72</f>
        <v>65000</v>
      </c>
      <c r="F35" s="66">
        <f>E35/Discount!B31</f>
        <v>9776.1438079688414</v>
      </c>
      <c r="G35" s="65">
        <f t="shared" si="0"/>
        <v>265945.94594594592</v>
      </c>
      <c r="H35" s="66">
        <f>G35/Discount!B31</f>
        <v>39998.858657136545</v>
      </c>
      <c r="I35"/>
    </row>
    <row r="36" spans="1:9" s="54" customFormat="1">
      <c r="A36" s="54">
        <v>2048</v>
      </c>
      <c r="B36" s="54">
        <v>19</v>
      </c>
      <c r="C36" s="65">
        <f>'NoBuild-Deferred Maintenance'!$E$76</f>
        <v>200945.94594594595</v>
      </c>
      <c r="D36" s="66">
        <f>C36/Discount!B32</f>
        <v>28245.527896418418</v>
      </c>
      <c r="E36" s="65">
        <f>'NoBuild-Required Safety Improve'!$E$72</f>
        <v>65000</v>
      </c>
      <c r="F36" s="66">
        <f>E36/Discount!B32</f>
        <v>9136.5829981017214</v>
      </c>
      <c r="G36" s="65">
        <f t="shared" si="0"/>
        <v>265945.94594594592</v>
      </c>
      <c r="H36" s="66">
        <f>G36/Discount!B32</f>
        <v>37382.110894520134</v>
      </c>
      <c r="I36"/>
    </row>
    <row r="37" spans="1:9" s="54" customFormat="1">
      <c r="A37" s="54">
        <v>2049</v>
      </c>
      <c r="B37" s="54">
        <v>20</v>
      </c>
      <c r="C37" s="65">
        <f>'NoBuild-Deferred Maintenance'!$E$76</f>
        <v>200945.94594594595</v>
      </c>
      <c r="D37" s="66">
        <f>C37/Discount!B33</f>
        <v>26397.689622820952</v>
      </c>
      <c r="E37" s="65">
        <f>'NoBuild-Required Safety Improve'!$E$72</f>
        <v>65000</v>
      </c>
      <c r="F37" s="66">
        <f>E37/Discount!B33</f>
        <v>8538.8626150483378</v>
      </c>
      <c r="G37" s="65">
        <f t="shared" si="0"/>
        <v>265945.94594594592</v>
      </c>
      <c r="H37" s="66">
        <f>G37/Discount!B33</f>
        <v>34936.552237869284</v>
      </c>
      <c r="I37"/>
    </row>
    <row r="38" spans="1:9" s="54" customFormat="1">
      <c r="A38" s="54">
        <v>2050</v>
      </c>
      <c r="B38" s="54">
        <v>21</v>
      </c>
      <c r="C38" s="65">
        <f>'NoBuild-Deferred Maintenance'!$E$76</f>
        <v>200945.94594594595</v>
      </c>
      <c r="D38" s="66">
        <f>C38/Discount!B34</f>
        <v>24670.737965253222</v>
      </c>
      <c r="E38" s="65">
        <f>'NoBuild-Required Safety Improve'!$E$72</f>
        <v>65000</v>
      </c>
      <c r="F38" s="66">
        <f>E38/Discount!B34</f>
        <v>7980.2454346246132</v>
      </c>
      <c r="G38" s="65">
        <f t="shared" si="0"/>
        <v>265945.94594594592</v>
      </c>
      <c r="H38" s="66">
        <f>G38/Discount!B34</f>
        <v>32650.98339987783</v>
      </c>
      <c r="I38"/>
    </row>
    <row r="39" spans="1:9" s="54" customFormat="1">
      <c r="A39" s="54">
        <v>2051</v>
      </c>
      <c r="B39" s="54">
        <v>22</v>
      </c>
      <c r="C39" s="65">
        <f>'NoBuild-Deferred Maintenance'!$E$76</f>
        <v>200945.94594594595</v>
      </c>
      <c r="D39" s="66">
        <f>C39/Discount!B35</f>
        <v>23056.764453507687</v>
      </c>
      <c r="E39" s="65">
        <f>'NoBuild-Required Safety Improve'!$E$72</f>
        <v>65000</v>
      </c>
      <c r="F39" s="66">
        <f>E39/Discount!B35</f>
        <v>7458.1733033874898</v>
      </c>
      <c r="G39" s="65">
        <f t="shared" si="0"/>
        <v>265945.94594594592</v>
      </c>
      <c r="H39" s="66">
        <f>G39/Discount!B35</f>
        <v>30514.937756895171</v>
      </c>
      <c r="I39"/>
    </row>
    <row r="40" spans="1:9" s="54" customFormat="1">
      <c r="A40" s="54">
        <v>2052</v>
      </c>
      <c r="B40" s="54">
        <v>23</v>
      </c>
      <c r="C40" s="65">
        <f>'NoBuild-Deferred Maintenance'!$E$76</f>
        <v>200945.94594594595</v>
      </c>
      <c r="D40" s="66">
        <f>C40/Discount!B36</f>
        <v>21548.377993932416</v>
      </c>
      <c r="E40" s="65">
        <f>'NoBuild-Required Safety Improve'!$E$72</f>
        <v>65000</v>
      </c>
      <c r="F40" s="66">
        <f>E40/Discount!B36</f>
        <v>6970.2554237266258</v>
      </c>
      <c r="G40" s="65">
        <f t="shared" si="0"/>
        <v>265945.94594594592</v>
      </c>
      <c r="H40" s="66">
        <f>G40/Discount!B36</f>
        <v>28518.633417659039</v>
      </c>
      <c r="I40"/>
    </row>
    <row r="41" spans="1:9" s="54" customFormat="1">
      <c r="A41" s="54">
        <v>2053</v>
      </c>
      <c r="B41" s="54">
        <v>24</v>
      </c>
      <c r="C41" s="65">
        <f>'NoBuild-Deferred Maintenance'!$E$76</f>
        <v>200945.94594594595</v>
      </c>
      <c r="D41" s="66">
        <f>C41/Discount!B37</f>
        <v>20138.671022366747</v>
      </c>
      <c r="E41" s="65">
        <f>'NoBuild-Required Safety Improve'!$E$72</f>
        <v>65000</v>
      </c>
      <c r="F41" s="66">
        <f>E41/Discount!B37</f>
        <v>6514.2574053519866</v>
      </c>
      <c r="G41" s="65">
        <f t="shared" si="0"/>
        <v>265945.94594594592</v>
      </c>
      <c r="H41" s="66">
        <f>G41/Discount!B37</f>
        <v>26652.928427718729</v>
      </c>
      <c r="I41"/>
    </row>
    <row r="42" spans="1:9" s="54" customFormat="1">
      <c r="A42" s="54">
        <v>2054</v>
      </c>
      <c r="B42" s="54">
        <v>25</v>
      </c>
      <c r="C42" s="65">
        <f>'NoBuild-Deferred Maintenance'!$E$76</f>
        <v>200945.94594594595</v>
      </c>
      <c r="D42" s="66">
        <f>C42/Discount!B38</f>
        <v>18821.187871370788</v>
      </c>
      <c r="E42" s="65">
        <f>'NoBuild-Required Safety Improve'!$E$72</f>
        <v>65000</v>
      </c>
      <c r="F42" s="66">
        <f>E42/Discount!B38</f>
        <v>6088.0910330392398</v>
      </c>
      <c r="G42" s="65">
        <f t="shared" si="0"/>
        <v>265945.94594594592</v>
      </c>
      <c r="H42" s="66">
        <f>G42/Discount!B38</f>
        <v>24909.278904410025</v>
      </c>
      <c r="I42"/>
    </row>
    <row r="43" spans="1:9" s="54" customFormat="1">
      <c r="A43" s="54">
        <v>2055</v>
      </c>
      <c r="B43" s="54">
        <v>26</v>
      </c>
      <c r="C43" s="65">
        <f>'NoBuild-Deferred Maintenance'!$E$76</f>
        <v>200945.94594594595</v>
      </c>
      <c r="D43" s="66">
        <f>C43/Discount!B39</f>
        <v>17589.895206888588</v>
      </c>
      <c r="E43" s="65">
        <f>'NoBuild-Required Safety Improve'!$E$72</f>
        <v>65000</v>
      </c>
      <c r="F43" s="66">
        <f>E43/Discount!B39</f>
        <v>5689.8047037749902</v>
      </c>
      <c r="G43" s="65">
        <f t="shared" si="0"/>
        <v>265945.94594594592</v>
      </c>
      <c r="H43" s="66">
        <f>G43/Discount!B39</f>
        <v>23279.699910663574</v>
      </c>
      <c r="I43"/>
    </row>
    <row r="44" spans="1:9" s="54" customFormat="1">
      <c r="A44" s="54">
        <v>2056</v>
      </c>
      <c r="B44" s="54">
        <v>27</v>
      </c>
      <c r="C44" s="65">
        <f>'NoBuild-Deferred Maintenance'!$E$76</f>
        <v>200945.94594594595</v>
      </c>
      <c r="D44" s="66">
        <f>C44/Discount!B40</f>
        <v>16439.154398961295</v>
      </c>
      <c r="E44" s="65">
        <f>'NoBuild-Required Safety Improve'!$E$72</f>
        <v>65000</v>
      </c>
      <c r="F44" s="66">
        <f>E44/Discount!B40</f>
        <v>5317.5744895093367</v>
      </c>
      <c r="G44" s="65">
        <f t="shared" si="0"/>
        <v>265945.94594594592</v>
      </c>
      <c r="H44" s="66">
        <f>G44/Discount!B40</f>
        <v>21756.728888470629</v>
      </c>
      <c r="I44"/>
    </row>
    <row r="45" spans="1:9" s="54" customFormat="1">
      <c r="A45" s="54">
        <v>2057</v>
      </c>
      <c r="B45" s="54">
        <v>28</v>
      </c>
      <c r="C45" s="65">
        <f>'NoBuild-Deferred Maintenance'!$E$76</f>
        <v>200945.94594594595</v>
      </c>
      <c r="D45" s="66">
        <f>C45/Discount!B41</f>
        <v>15363.695699963828</v>
      </c>
      <c r="E45" s="65">
        <f>'NoBuild-Required Safety Improve'!$E$72</f>
        <v>65000</v>
      </c>
      <c r="F45" s="66">
        <f>E45/Discount!B41</f>
        <v>4969.6957845881652</v>
      </c>
      <c r="G45" s="65">
        <f t="shared" si="0"/>
        <v>265945.94594594592</v>
      </c>
      <c r="H45" s="66">
        <f>G45/Discount!B41</f>
        <v>20333.39148455199</v>
      </c>
      <c r="I45"/>
    </row>
    <row r="46" spans="1:9" s="54" customFormat="1">
      <c r="A46" s="54">
        <v>2058</v>
      </c>
      <c r="B46" s="54">
        <v>29</v>
      </c>
      <c r="C46" s="65">
        <f>'NoBuild-Deferred Maintenance'!$E$76</f>
        <v>200945.94594594595</v>
      </c>
      <c r="D46" s="66">
        <f>C46/Discount!B42</f>
        <v>14358.594112115727</v>
      </c>
      <c r="E46" s="65">
        <f>'NoBuild-Required Safety Improve'!$E$72</f>
        <v>65000</v>
      </c>
      <c r="F46" s="66">
        <f>E46/Discount!B42</f>
        <v>4644.5754996151072</v>
      </c>
      <c r="G46" s="65">
        <f t="shared" si="0"/>
        <v>265945.94594594592</v>
      </c>
      <c r="H46" s="66">
        <f>G46/Discount!B42</f>
        <v>19003.169611730831</v>
      </c>
      <c r="I46"/>
    </row>
    <row r="47" spans="1:9" s="54" customFormat="1">
      <c r="A47" s="54">
        <v>2059</v>
      </c>
      <c r="B47" s="54">
        <v>30</v>
      </c>
      <c r="C47" s="65">
        <f>'NoBuild-Deferred Maintenance'!$E$76</f>
        <v>200945.94594594595</v>
      </c>
      <c r="D47" s="66">
        <f>C47/Discount!B43</f>
        <v>13419.246833753015</v>
      </c>
      <c r="E47" s="65">
        <f>'NoBuild-Required Safety Improve'!$E$72</f>
        <v>65000</v>
      </c>
      <c r="F47" s="66">
        <f>E47/Discount!B43</f>
        <v>4340.7247659954273</v>
      </c>
      <c r="G47" s="65">
        <f t="shared" si="0"/>
        <v>265945.94594594592</v>
      </c>
      <c r="H47" s="66">
        <f>G47/Discount!B43</f>
        <v>17759.971599748442</v>
      </c>
      <c r="I47"/>
    </row>
    <row r="48" spans="1:9" s="54" customFormat="1" ht="30" customHeight="1" thickBot="1">
      <c r="A48" s="306" t="s">
        <v>494</v>
      </c>
      <c r="B48" s="306"/>
      <c r="C48" s="70">
        <f>SUM(C15:C47)</f>
        <v>6631216.2162162131</v>
      </c>
      <c r="D48" s="70">
        <f>SUM(D7:D47)</f>
        <v>2642952.9285911573</v>
      </c>
      <c r="E48" s="70">
        <f t="shared" ref="E48:G48" si="1">SUM(E7:E47)</f>
        <v>6739999.9979999997</v>
      </c>
      <c r="F48" s="70">
        <f>SUM(F7:F47)</f>
        <v>4003131.2745846594</v>
      </c>
      <c r="G48" s="70">
        <f t="shared" si="1"/>
        <v>14819054.052054062</v>
      </c>
      <c r="H48" s="70">
        <f>SUM(H7:H47)</f>
        <v>6646084.2031758167</v>
      </c>
      <c r="I48"/>
    </row>
    <row r="49" spans="9:9" s="54" customFormat="1" ht="15.75" customHeight="1" thickTop="1">
      <c r="I49"/>
    </row>
  </sheetData>
  <mergeCells count="5">
    <mergeCell ref="A1:H1"/>
    <mergeCell ref="A2:H2"/>
    <mergeCell ref="A3:H3"/>
    <mergeCell ref="A4:H4"/>
    <mergeCell ref="A48:B48"/>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28984-6F43-4455-8CBD-A5B92FE9F1A3}">
  <dimension ref="A1:I410"/>
  <sheetViews>
    <sheetView topLeftCell="A34" zoomScaleNormal="100" workbookViewId="0">
      <selection activeCell="C10" sqref="C10"/>
    </sheetView>
  </sheetViews>
  <sheetFormatPr defaultRowHeight="15"/>
  <cols>
    <col min="1" max="1" width="17.28515625" customWidth="1"/>
    <col min="2" max="2" width="10" customWidth="1"/>
    <col min="3" max="3" width="24" customWidth="1"/>
    <col min="4" max="4" width="17" customWidth="1"/>
    <col min="5" max="5" width="12.85546875" customWidth="1"/>
    <col min="6" max="6" width="27.5703125" customWidth="1"/>
    <col min="7" max="7" width="16.140625" customWidth="1"/>
    <col min="8" max="8" width="16.85546875" customWidth="1"/>
  </cols>
  <sheetData>
    <row r="1" spans="1:8" ht="23.25">
      <c r="A1" s="262" t="s">
        <v>10</v>
      </c>
      <c r="B1" s="262"/>
      <c r="C1" s="262"/>
      <c r="D1" s="262"/>
      <c r="E1" s="262"/>
      <c r="F1" s="262"/>
      <c r="G1" s="262"/>
      <c r="H1" s="262"/>
    </row>
    <row r="2" spans="1:8" ht="20.25" thickBot="1">
      <c r="A2" s="263" t="s">
        <v>9</v>
      </c>
      <c r="B2" s="263"/>
      <c r="C2" s="263"/>
      <c r="D2" s="263"/>
      <c r="E2" s="263"/>
      <c r="F2" s="263"/>
      <c r="G2" s="263"/>
      <c r="H2" s="263"/>
    </row>
    <row r="3" spans="1:8" ht="21" thickTop="1" thickBot="1">
      <c r="A3" s="263" t="s">
        <v>1</v>
      </c>
      <c r="B3" s="263"/>
      <c r="C3" s="263"/>
      <c r="D3" s="263"/>
      <c r="E3" s="263"/>
      <c r="F3" s="263"/>
      <c r="G3" s="263"/>
      <c r="H3" s="263"/>
    </row>
    <row r="4" spans="1:8" ht="16.5" thickTop="1" thickBot="1">
      <c r="A4" s="285" t="s">
        <v>16</v>
      </c>
      <c r="B4" s="285"/>
      <c r="C4" s="285"/>
      <c r="D4" s="285"/>
      <c r="E4" s="285"/>
      <c r="F4" s="285"/>
      <c r="G4" s="285"/>
      <c r="H4" s="285"/>
    </row>
    <row r="5" spans="1:8">
      <c r="A5" s="119"/>
      <c r="B5" s="119"/>
      <c r="C5" s="119"/>
      <c r="D5" s="119"/>
      <c r="E5" s="119"/>
    </row>
    <row r="6" spans="1:8" s="54" customFormat="1" ht="30">
      <c r="A6" s="120" t="s">
        <v>162</v>
      </c>
      <c r="B6" s="121">
        <v>700</v>
      </c>
      <c r="C6" s="77" t="s">
        <v>386</v>
      </c>
      <c r="D6" s="120" t="s">
        <v>29</v>
      </c>
      <c r="E6" s="1">
        <v>365</v>
      </c>
      <c r="F6" s="1"/>
    </row>
    <row r="7" spans="1:8" s="54" customFormat="1">
      <c r="A7" s="126" t="s">
        <v>388</v>
      </c>
      <c r="B7" s="121">
        <f>B6*C7</f>
        <v>598.5</v>
      </c>
      <c r="C7" s="127">
        <v>0.85499999999999998</v>
      </c>
      <c r="D7" s="120"/>
      <c r="E7" s="1"/>
      <c r="F7" s="1"/>
    </row>
    <row r="8" spans="1:8" s="54" customFormat="1">
      <c r="A8" s="126" t="s">
        <v>389</v>
      </c>
      <c r="B8" s="121">
        <f>B6*C8</f>
        <v>101.5</v>
      </c>
      <c r="C8" s="127">
        <v>0.14499999999999999</v>
      </c>
      <c r="D8" s="120"/>
      <c r="E8" s="1"/>
      <c r="F8" s="1"/>
    </row>
    <row r="9" spans="1:8" s="54" customFormat="1" ht="45">
      <c r="A9" s="120" t="s">
        <v>157</v>
      </c>
      <c r="B9" s="1">
        <v>1.67</v>
      </c>
      <c r="C9" s="75" t="s">
        <v>718</v>
      </c>
      <c r="D9" s="122" t="s">
        <v>158</v>
      </c>
      <c r="E9" s="123">
        <v>16.5</v>
      </c>
      <c r="F9" s="75" t="s">
        <v>390</v>
      </c>
    </row>
    <row r="10" spans="1:8" s="54" customFormat="1" ht="15" customHeight="1">
      <c r="A10" s="120" t="s">
        <v>159</v>
      </c>
      <c r="B10" s="124">
        <v>1.77E-2</v>
      </c>
      <c r="C10" s="1" t="s">
        <v>573</v>
      </c>
      <c r="D10" s="122" t="s">
        <v>161</v>
      </c>
      <c r="E10" s="123">
        <v>30.8</v>
      </c>
      <c r="F10" s="1" t="s">
        <v>391</v>
      </c>
    </row>
    <row r="11" spans="1:8" s="54" customFormat="1" ht="45">
      <c r="A11" s="120" t="s">
        <v>164</v>
      </c>
      <c r="B11" s="1">
        <v>19.7</v>
      </c>
      <c r="C11" s="1" t="s">
        <v>393</v>
      </c>
      <c r="D11" s="122" t="s">
        <v>286</v>
      </c>
      <c r="E11" s="125">
        <v>55</v>
      </c>
      <c r="F11" s="1" t="s">
        <v>160</v>
      </c>
    </row>
    <row r="12" spans="1:8" s="54" customFormat="1" ht="60">
      <c r="A12" s="1"/>
      <c r="B12" s="1"/>
      <c r="C12" s="1"/>
      <c r="D12" s="122" t="s">
        <v>287</v>
      </c>
      <c r="E12" s="1">
        <v>65</v>
      </c>
      <c r="F12" s="1" t="s">
        <v>160</v>
      </c>
    </row>
    <row r="13" spans="1:8" s="54" customFormat="1"/>
    <row r="14" spans="1:8" s="54" customFormat="1" ht="60">
      <c r="A14" s="61" t="s">
        <v>25</v>
      </c>
      <c r="B14" s="61" t="s">
        <v>26</v>
      </c>
      <c r="C14" s="61" t="s">
        <v>163</v>
      </c>
      <c r="D14" s="61" t="s">
        <v>166</v>
      </c>
      <c r="E14" s="61" t="s">
        <v>167</v>
      </c>
      <c r="F14" s="61" t="s">
        <v>168</v>
      </c>
      <c r="G14" s="61" t="s">
        <v>27</v>
      </c>
      <c r="H14" s="61" t="s">
        <v>28</v>
      </c>
    </row>
    <row r="15" spans="1:8" s="54" customFormat="1">
      <c r="A15" s="54">
        <v>2019</v>
      </c>
      <c r="C15" s="62">
        <f>B6*E6</f>
        <v>255500</v>
      </c>
      <c r="D15" s="62">
        <f t="shared" ref="D15:D45" si="0">(C15*($B$11/$E$11))*$B$9</f>
        <v>152830.80909090908</v>
      </c>
      <c r="E15" s="62"/>
    </row>
    <row r="16" spans="1:8" s="54" customFormat="1">
      <c r="A16" s="54">
        <v>2020</v>
      </c>
      <c r="C16" s="63">
        <f t="shared" ref="C16:C55" si="1">C15*(1+$B$10)</f>
        <v>260022.35</v>
      </c>
      <c r="D16" s="62">
        <f t="shared" si="0"/>
        <v>155535.91441181814</v>
      </c>
      <c r="E16" s="62"/>
    </row>
    <row r="17" spans="1:9" s="54" customFormat="1">
      <c r="A17" s="54">
        <v>2021</v>
      </c>
      <c r="C17" s="63">
        <f t="shared" si="1"/>
        <v>264624.74559500004</v>
      </c>
      <c r="D17" s="62">
        <f t="shared" si="0"/>
        <v>158288.90009690737</v>
      </c>
      <c r="E17" s="62"/>
    </row>
    <row r="18" spans="1:9" s="54" customFormat="1">
      <c r="A18" s="54">
        <v>2022</v>
      </c>
      <c r="C18" s="63">
        <f t="shared" si="1"/>
        <v>269308.60359203158</v>
      </c>
      <c r="D18" s="62">
        <f t="shared" si="0"/>
        <v>161090.61362862267</v>
      </c>
      <c r="E18" s="62"/>
      <c r="I18" s="64"/>
    </row>
    <row r="19" spans="1:9" s="54" customFormat="1">
      <c r="A19" s="54">
        <v>2023</v>
      </c>
      <c r="C19" s="63">
        <f t="shared" si="1"/>
        <v>274075.36587561056</v>
      </c>
      <c r="D19" s="62">
        <f t="shared" si="0"/>
        <v>163941.91748984929</v>
      </c>
      <c r="E19" s="62"/>
    </row>
    <row r="20" spans="1:9" s="54" customFormat="1">
      <c r="A20" s="54">
        <v>2024</v>
      </c>
      <c r="C20" s="63">
        <f t="shared" si="1"/>
        <v>278926.49985160888</v>
      </c>
      <c r="D20" s="62">
        <f t="shared" si="0"/>
        <v>166843.68942941964</v>
      </c>
      <c r="E20" s="62"/>
    </row>
    <row r="21" spans="1:9" s="54" customFormat="1">
      <c r="A21" s="54">
        <v>2025</v>
      </c>
      <c r="C21" s="63">
        <f t="shared" si="1"/>
        <v>283863.49889898236</v>
      </c>
      <c r="D21" s="62">
        <f t="shared" si="0"/>
        <v>169796.82273232035</v>
      </c>
      <c r="E21" s="62"/>
    </row>
    <row r="22" spans="1:9" s="54" customFormat="1">
      <c r="A22" s="54">
        <v>2026</v>
      </c>
      <c r="C22" s="63">
        <f t="shared" si="1"/>
        <v>288887.88282949437</v>
      </c>
      <c r="D22" s="62">
        <f t="shared" si="0"/>
        <v>172802.22649468243</v>
      </c>
      <c r="E22" s="62"/>
    </row>
    <row r="23" spans="1:9" s="54" customFormat="1">
      <c r="A23" s="54">
        <v>2027</v>
      </c>
      <c r="C23" s="63">
        <f t="shared" si="1"/>
        <v>294001.19835557643</v>
      </c>
      <c r="D23" s="62">
        <f t="shared" ref="D23:D26" si="2">(C23*($B$11/$E$11))*$B$9</f>
        <v>175860.82590363832</v>
      </c>
      <c r="E23" s="62"/>
    </row>
    <row r="24" spans="1:9" s="54" customFormat="1">
      <c r="A24" s="54">
        <v>2028</v>
      </c>
      <c r="C24" s="63">
        <f t="shared" si="1"/>
        <v>299205.01956647018</v>
      </c>
      <c r="D24" s="62">
        <f t="shared" si="2"/>
        <v>178973.56252213276</v>
      </c>
      <c r="E24" s="62"/>
    </row>
    <row r="25" spans="1:9" s="54" customFormat="1">
      <c r="A25" s="54">
        <v>2029</v>
      </c>
      <c r="C25" s="63">
        <f t="shared" si="1"/>
        <v>304500.94841279672</v>
      </c>
      <c r="D25" s="62">
        <f t="shared" si="2"/>
        <v>182141.39457877449</v>
      </c>
      <c r="E25" s="62"/>
    </row>
    <row r="26" spans="1:9" s="54" customFormat="1">
      <c r="A26" s="54">
        <v>2030</v>
      </c>
      <c r="B26" s="54">
        <v>1</v>
      </c>
      <c r="C26" s="63">
        <f t="shared" si="1"/>
        <v>309890.61519970326</v>
      </c>
      <c r="D26" s="62">
        <f t="shared" si="2"/>
        <v>185365.29726281884</v>
      </c>
      <c r="E26" s="62">
        <f t="shared" ref="E26:E45" si="3">(C26*($B$11/$E$12))*$B$9</f>
        <v>156847.5592223852</v>
      </c>
      <c r="F26" s="63">
        <f>D26-E26</f>
        <v>28517.738040433644</v>
      </c>
      <c r="G26" s="65">
        <f t="shared" ref="G26:G55" si="4">(((F26*$C$8)*$E$10)+(F26*$C$7)*$E$9)</f>
        <v>529674.20749399427</v>
      </c>
      <c r="H26" s="66">
        <f>G26/Discount!B11</f>
        <v>308275.21121477598</v>
      </c>
    </row>
    <row r="27" spans="1:9" s="54" customFormat="1">
      <c r="A27" s="54">
        <v>2031</v>
      </c>
      <c r="B27" s="54">
        <v>2</v>
      </c>
      <c r="C27" s="63">
        <f t="shared" si="1"/>
        <v>315375.67908873805</v>
      </c>
      <c r="D27" s="62">
        <f t="shared" si="0"/>
        <v>188646.26302437077</v>
      </c>
      <c r="E27" s="62">
        <f t="shared" si="3"/>
        <v>159623.76102062143</v>
      </c>
      <c r="F27" s="63">
        <f t="shared" ref="F27:F45" si="5">D27-E27</f>
        <v>29022.502003749338</v>
      </c>
      <c r="G27" s="65">
        <f t="shared" si="4"/>
        <v>539049.44096663827</v>
      </c>
      <c r="H27" s="66">
        <f>G27/Discount!B12</f>
        <v>293207.17986287631</v>
      </c>
    </row>
    <row r="28" spans="1:9" s="54" customFormat="1">
      <c r="A28" s="54">
        <v>2032</v>
      </c>
      <c r="B28" s="54">
        <v>3</v>
      </c>
      <c r="C28" s="63">
        <f t="shared" si="1"/>
        <v>320957.82860860875</v>
      </c>
      <c r="D28" s="62">
        <f t="shared" si="0"/>
        <v>191985.30187990217</v>
      </c>
      <c r="E28" s="62">
        <f t="shared" si="3"/>
        <v>162449.10159068645</v>
      </c>
      <c r="F28" s="63">
        <f t="shared" si="5"/>
        <v>29536.200289215718</v>
      </c>
      <c r="G28" s="65">
        <f t="shared" si="4"/>
        <v>548590.61607174808</v>
      </c>
      <c r="H28" s="66">
        <f>G28/Discount!B13</f>
        <v>278875.6513518219</v>
      </c>
    </row>
    <row r="29" spans="1:9" s="54" customFormat="1">
      <c r="A29" s="54">
        <v>2033</v>
      </c>
      <c r="B29" s="54">
        <v>4</v>
      </c>
      <c r="C29" s="63">
        <f t="shared" si="1"/>
        <v>326638.78217498114</v>
      </c>
      <c r="D29" s="62">
        <f t="shared" si="0"/>
        <v>195383.44172317642</v>
      </c>
      <c r="E29" s="62">
        <f t="shared" si="3"/>
        <v>165324.45068884161</v>
      </c>
      <c r="F29" s="63">
        <f t="shared" si="5"/>
        <v>30058.991034334817</v>
      </c>
      <c r="G29" s="65">
        <f t="shared" si="4"/>
        <v>558300.66997621767</v>
      </c>
      <c r="H29" s="66">
        <f>G29/Discount!B14</f>
        <v>265244.6265240644</v>
      </c>
    </row>
    <row r="30" spans="1:9" s="54" customFormat="1">
      <c r="A30" s="54">
        <v>2034</v>
      </c>
      <c r="B30" s="54">
        <v>5</v>
      </c>
      <c r="C30" s="63">
        <f t="shared" si="1"/>
        <v>332420.28861947835</v>
      </c>
      <c r="D30" s="62">
        <f t="shared" si="0"/>
        <v>198841.72864167669</v>
      </c>
      <c r="E30" s="62">
        <f t="shared" si="3"/>
        <v>168250.69346603411</v>
      </c>
      <c r="F30" s="63">
        <f t="shared" si="5"/>
        <v>30591.035175642581</v>
      </c>
      <c r="G30" s="65">
        <f t="shared" si="4"/>
        <v>568182.59183479752</v>
      </c>
      <c r="H30" s="66">
        <f>G30/Discount!B15</f>
        <v>252279.86580704746</v>
      </c>
    </row>
    <row r="31" spans="1:9" s="54" customFormat="1">
      <c r="A31" s="54">
        <v>2035</v>
      </c>
      <c r="B31" s="54">
        <v>6</v>
      </c>
      <c r="C31" s="63">
        <f t="shared" si="1"/>
        <v>338304.12772804312</v>
      </c>
      <c r="D31" s="62">
        <f t="shared" si="0"/>
        <v>202361.22723863437</v>
      </c>
      <c r="E31" s="62">
        <f t="shared" si="3"/>
        <v>171228.73074038295</v>
      </c>
      <c r="F31" s="63">
        <f t="shared" si="5"/>
        <v>31132.496498251421</v>
      </c>
      <c r="G31" s="65">
        <f t="shared" si="4"/>
        <v>578239.42371027276</v>
      </c>
      <c r="H31" s="66">
        <f>G31/Discount!B16</f>
        <v>239948.80320731949</v>
      </c>
    </row>
    <row r="32" spans="1:9" s="54" customFormat="1">
      <c r="A32" s="54">
        <v>2036</v>
      </c>
      <c r="B32" s="54">
        <v>7</v>
      </c>
      <c r="C32" s="63">
        <f t="shared" si="1"/>
        <v>344292.11078882951</v>
      </c>
      <c r="D32" s="62">
        <f t="shared" si="0"/>
        <v>205943.02096075821</v>
      </c>
      <c r="E32" s="62">
        <f t="shared" si="3"/>
        <v>174259.47927448773</v>
      </c>
      <c r="F32" s="63">
        <f t="shared" si="5"/>
        <v>31683.541686270473</v>
      </c>
      <c r="G32" s="65">
        <f t="shared" si="4"/>
        <v>588474.26150994468</v>
      </c>
      <c r="H32" s="66">
        <f>G32/Discount!B17</f>
        <v>228220.46450849451</v>
      </c>
    </row>
    <row r="33" spans="1:8" s="54" customFormat="1">
      <c r="A33" s="54">
        <v>2037</v>
      </c>
      <c r="B33" s="54">
        <v>8</v>
      </c>
      <c r="C33" s="63">
        <f t="shared" si="1"/>
        <v>350386.08114979183</v>
      </c>
      <c r="D33" s="62">
        <f t="shared" si="0"/>
        <v>209588.21243176362</v>
      </c>
      <c r="E33" s="62">
        <f t="shared" si="3"/>
        <v>177343.87205764616</v>
      </c>
      <c r="F33" s="63">
        <f t="shared" si="5"/>
        <v>32244.340374117455</v>
      </c>
      <c r="G33" s="65">
        <f t="shared" si="4"/>
        <v>598890.25593867048</v>
      </c>
      <c r="H33" s="66">
        <f>G33/Discount!B18</f>
        <v>217065.38946756517</v>
      </c>
    </row>
    <row r="34" spans="1:8" s="54" customFormat="1">
      <c r="A34" s="54">
        <v>2038</v>
      </c>
      <c r="B34" s="54">
        <v>9</v>
      </c>
      <c r="C34" s="63">
        <f t="shared" si="1"/>
        <v>356587.91478614317</v>
      </c>
      <c r="D34" s="62">
        <f t="shared" si="0"/>
        <v>213297.92379180586</v>
      </c>
      <c r="E34" s="62">
        <f t="shared" si="3"/>
        <v>180482.85859306651</v>
      </c>
      <c r="F34" s="63">
        <f t="shared" si="5"/>
        <v>32815.06519873935</v>
      </c>
      <c r="G34" s="65">
        <f t="shared" si="4"/>
        <v>609490.6134687853</v>
      </c>
      <c r="H34" s="66">
        <f>G34/Discount!B19</f>
        <v>206455.5578141507</v>
      </c>
    </row>
    <row r="35" spans="1:8" s="54" customFormat="1">
      <c r="A35" s="54">
        <v>2039</v>
      </c>
      <c r="B35" s="54">
        <v>10</v>
      </c>
      <c r="C35" s="63">
        <f t="shared" si="1"/>
        <v>362899.52087785793</v>
      </c>
      <c r="D35" s="62">
        <f t="shared" si="0"/>
        <v>217073.29704292084</v>
      </c>
      <c r="E35" s="62">
        <f t="shared" si="3"/>
        <v>183677.40519016382</v>
      </c>
      <c r="F35" s="63">
        <f t="shared" si="5"/>
        <v>33395.89185275702</v>
      </c>
      <c r="G35" s="65">
        <f t="shared" si="4"/>
        <v>620278.59732718254</v>
      </c>
      <c r="H35" s="66">
        <f>G35/Discount!B20</f>
        <v>196364.31886678605</v>
      </c>
    </row>
    <row r="36" spans="1:8" s="54" customFormat="1">
      <c r="A36" s="54">
        <v>2040</v>
      </c>
      <c r="B36" s="54">
        <v>11</v>
      </c>
      <c r="C36" s="63">
        <f t="shared" si="1"/>
        <v>369322.84239739605</v>
      </c>
      <c r="D36" s="62">
        <f t="shared" si="0"/>
        <v>220915.49440058059</v>
      </c>
      <c r="E36" s="62">
        <f t="shared" si="3"/>
        <v>186928.49526202973</v>
      </c>
      <c r="F36" s="63">
        <f t="shared" si="5"/>
        <v>33986.999138550862</v>
      </c>
      <c r="G36" s="65">
        <f t="shared" si="4"/>
        <v>631257.5284998744</v>
      </c>
      <c r="H36" s="66">
        <f>G36/Discount!B21</f>
        <v>186766.32458946577</v>
      </c>
    </row>
    <row r="37" spans="1:8" s="54" customFormat="1">
      <c r="A37" s="54">
        <v>2041</v>
      </c>
      <c r="B37" s="54">
        <v>12</v>
      </c>
      <c r="C37" s="63">
        <f t="shared" si="1"/>
        <v>375859.85670782998</v>
      </c>
      <c r="D37" s="62">
        <f t="shared" si="0"/>
        <v>224825.69865147088</v>
      </c>
      <c r="E37" s="62">
        <f t="shared" si="3"/>
        <v>190237.12962816766</v>
      </c>
      <c r="F37" s="63">
        <f t="shared" si="5"/>
        <v>34588.569023303222</v>
      </c>
      <c r="G37" s="65">
        <f t="shared" si="4"/>
        <v>642430.78675432235</v>
      </c>
      <c r="H37" s="66">
        <f>G37/Discount!B22</f>
        <v>177637.46592027976</v>
      </c>
    </row>
    <row r="38" spans="1:8" s="54" customFormat="1">
      <c r="A38" s="54">
        <v>2042</v>
      </c>
      <c r="B38" s="54">
        <v>13</v>
      </c>
      <c r="C38" s="63">
        <f t="shared" si="1"/>
        <v>382512.57617155858</v>
      </c>
      <c r="D38" s="62">
        <f t="shared" si="0"/>
        <v>228805.11351760189</v>
      </c>
      <c r="E38" s="62">
        <f t="shared" si="3"/>
        <v>193604.32682258624</v>
      </c>
      <c r="F38" s="63">
        <f t="shared" si="5"/>
        <v>35200.786695015646</v>
      </c>
      <c r="G38" s="65">
        <f t="shared" si="4"/>
        <v>653801.81167987315</v>
      </c>
      <c r="H38" s="66">
        <f>G38/Discount!B23</f>
        <v>168954.81221221358</v>
      </c>
    </row>
    <row r="39" spans="1:8" s="54" customFormat="1">
      <c r="A39" s="54">
        <v>2043</v>
      </c>
      <c r="B39" s="54">
        <v>14</v>
      </c>
      <c r="C39" s="63">
        <f t="shared" si="1"/>
        <v>389283.04876979516</v>
      </c>
      <c r="D39" s="62">
        <f t="shared" si="0"/>
        <v>232854.96402686345</v>
      </c>
      <c r="E39" s="62">
        <f t="shared" si="3"/>
        <v>197031.12340734602</v>
      </c>
      <c r="F39" s="63">
        <f t="shared" si="5"/>
        <v>35823.840619517432</v>
      </c>
      <c r="G39" s="65">
        <f t="shared" si="4"/>
        <v>665374.10374660697</v>
      </c>
      <c r="H39" s="66">
        <f>G39/Discount!B24</f>
        <v>160696.55363399044</v>
      </c>
    </row>
    <row r="40" spans="1:8" s="54" customFormat="1">
      <c r="A40" s="54">
        <v>2044</v>
      </c>
      <c r="B40" s="54">
        <v>15</v>
      </c>
      <c r="C40" s="63">
        <f t="shared" si="1"/>
        <v>396173.35873302055</v>
      </c>
      <c r="D40" s="62">
        <f t="shared" si="0"/>
        <v>236976.49689013895</v>
      </c>
      <c r="E40" s="62">
        <f t="shared" si="3"/>
        <v>200518.57429165606</v>
      </c>
      <c r="F40" s="63">
        <f t="shared" si="5"/>
        <v>36457.922598482895</v>
      </c>
      <c r="G40" s="65">
        <f t="shared" si="4"/>
        <v>677151.22538292198</v>
      </c>
      <c r="H40" s="66">
        <f>G40/Discount!B25</f>
        <v>152841.94638627299</v>
      </c>
    </row>
    <row r="41" spans="1:8" s="54" customFormat="1">
      <c r="A41" s="54">
        <v>2045</v>
      </c>
      <c r="B41" s="54">
        <v>16</v>
      </c>
      <c r="C41" s="63">
        <f t="shared" si="1"/>
        <v>403185.62718259502</v>
      </c>
      <c r="D41" s="62">
        <f t="shared" si="0"/>
        <v>241170.98088509441</v>
      </c>
      <c r="E41" s="62">
        <f t="shared" si="3"/>
        <v>204067.75305661836</v>
      </c>
      <c r="F41" s="63">
        <f t="shared" si="5"/>
        <v>37103.227828476054</v>
      </c>
      <c r="G41" s="65">
        <f t="shared" si="4"/>
        <v>689136.80207219988</v>
      </c>
      <c r="H41" s="66">
        <f>G41/Discount!B26</f>
        <v>145371.26059561688</v>
      </c>
    </row>
    <row r="42" spans="1:8" s="54" customFormat="1">
      <c r="A42" s="54">
        <v>2046</v>
      </c>
      <c r="B42" s="54">
        <v>17</v>
      </c>
      <c r="C42" s="63">
        <f t="shared" si="1"/>
        <v>410322.01278372697</v>
      </c>
      <c r="D42" s="62">
        <f t="shared" si="0"/>
        <v>245439.70724676058</v>
      </c>
      <c r="E42" s="62">
        <f t="shared" si="3"/>
        <v>207679.75228572049</v>
      </c>
      <c r="F42" s="63">
        <f t="shared" si="5"/>
        <v>37759.954961040086</v>
      </c>
      <c r="G42" s="65">
        <f t="shared" si="4"/>
        <v>701334.523468878</v>
      </c>
      <c r="H42" s="66">
        <f>G42/Discount!B27</f>
        <v>138265.73075528909</v>
      </c>
    </row>
    <row r="43" spans="1:8" s="54" customFormat="1">
      <c r="A43" s="54">
        <v>2047</v>
      </c>
      <c r="B43" s="54">
        <v>18</v>
      </c>
      <c r="C43" s="63">
        <f t="shared" si="1"/>
        <v>417584.71240999893</v>
      </c>
      <c r="D43" s="62">
        <f t="shared" si="0"/>
        <v>249783.99006502822</v>
      </c>
      <c r="E43" s="62">
        <f t="shared" si="3"/>
        <v>211355.68390117775</v>
      </c>
      <c r="F43" s="63">
        <f t="shared" si="5"/>
        <v>38428.306163850473</v>
      </c>
      <c r="G43" s="65">
        <f t="shared" si="4"/>
        <v>713748.1445342768</v>
      </c>
      <c r="H43" s="66">
        <f>G43/Discount!B28</f>
        <v>131507.50858846508</v>
      </c>
    </row>
    <row r="44" spans="1:8" s="54" customFormat="1">
      <c r="A44" s="54">
        <v>2048</v>
      </c>
      <c r="B44" s="54">
        <v>19</v>
      </c>
      <c r="C44" s="63">
        <f t="shared" si="1"/>
        <v>424975.96181965596</v>
      </c>
      <c r="D44" s="62">
        <f t="shared" si="0"/>
        <v>254205.16668917926</v>
      </c>
      <c r="E44" s="62">
        <f t="shared" si="3"/>
        <v>215096.67950622863</v>
      </c>
      <c r="F44" s="63">
        <f t="shared" si="5"/>
        <v>39108.48718295063</v>
      </c>
      <c r="G44" s="65">
        <f t="shared" si="4"/>
        <v>726381.48669253348</v>
      </c>
      <c r="H44" s="66">
        <f>G44/Discount!B29</f>
        <v>125079.61821540273</v>
      </c>
    </row>
    <row r="45" spans="1:8" s="54" customFormat="1">
      <c r="A45" s="54">
        <v>2049</v>
      </c>
      <c r="B45" s="54">
        <v>20</v>
      </c>
      <c r="C45" s="63">
        <f t="shared" si="1"/>
        <v>432498.03634386387</v>
      </c>
      <c r="D45" s="62">
        <f t="shared" si="0"/>
        <v>258704.59813957778</v>
      </c>
      <c r="E45" s="62">
        <f t="shared" si="3"/>
        <v>218903.89073348889</v>
      </c>
      <c r="F45" s="63">
        <f t="shared" si="5"/>
        <v>39800.707406088884</v>
      </c>
      <c r="G45" s="65">
        <f t="shared" si="4"/>
        <v>739238.4390069918</v>
      </c>
      <c r="H45" s="66">
        <f>G45/Discount!B30</f>
        <v>118965.91351197702</v>
      </c>
    </row>
    <row r="46" spans="1:8" s="54" customFormat="1">
      <c r="A46" s="54">
        <v>2050</v>
      </c>
      <c r="B46" s="54">
        <v>21</v>
      </c>
      <c r="C46" s="63">
        <f t="shared" si="1"/>
        <v>440153.25158715027</v>
      </c>
      <c r="D46" s="62">
        <f t="shared" ref="D46:D55" si="6">(C46*($B$11/$E$11))*$B$9</f>
        <v>263283.66952664824</v>
      </c>
      <c r="E46" s="62">
        <f t="shared" ref="E46:E55" si="7">(C46*($B$11/$E$12))*$B$9</f>
        <v>222778.48959947162</v>
      </c>
      <c r="F46" s="63">
        <f t="shared" ref="F46:F55" si="8">D46-E46</f>
        <v>40505.179927176621</v>
      </c>
      <c r="G46" s="65">
        <f t="shared" si="4"/>
        <v>752322.95937741501</v>
      </c>
      <c r="H46" s="66">
        <f>G46/Discount!B31</f>
        <v>113151.03755246631</v>
      </c>
    </row>
    <row r="47" spans="1:8" s="54" customFormat="1">
      <c r="A47" s="54">
        <v>2051</v>
      </c>
      <c r="B47" s="54">
        <v>22</v>
      </c>
      <c r="C47" s="63">
        <f t="shared" si="1"/>
        <v>447943.96414024284</v>
      </c>
      <c r="D47" s="62">
        <f t="shared" si="6"/>
        <v>267943.79047726997</v>
      </c>
      <c r="E47" s="62">
        <f t="shared" si="7"/>
        <v>226721.66886538226</v>
      </c>
      <c r="F47" s="63">
        <f t="shared" si="8"/>
        <v>41222.121611887706</v>
      </c>
      <c r="G47" s="65">
        <f t="shared" si="4"/>
        <v>765639.07575839642</v>
      </c>
      <c r="H47" s="66">
        <f>G47/Discount!B32</f>
        <v>107620.38403471508</v>
      </c>
    </row>
    <row r="48" spans="1:8" s="54" customFormat="1">
      <c r="A48" s="54">
        <v>2052</v>
      </c>
      <c r="B48" s="54">
        <v>23</v>
      </c>
      <c r="C48" s="63">
        <f t="shared" si="1"/>
        <v>455872.57230552519</v>
      </c>
      <c r="D48" s="62">
        <f t="shared" si="6"/>
        <v>272686.39556871768</v>
      </c>
      <c r="E48" s="62">
        <f t="shared" si="7"/>
        <v>230734.64240429958</v>
      </c>
      <c r="F48" s="63">
        <f t="shared" si="8"/>
        <v>41951.7531644181</v>
      </c>
      <c r="G48" s="65">
        <f t="shared" si="4"/>
        <v>779190.88739931956</v>
      </c>
      <c r="H48" s="66">
        <f>G48/Discount!B33</f>
        <v>102360.0605907752</v>
      </c>
    </row>
    <row r="49" spans="1:8" s="54" customFormat="1">
      <c r="A49" s="54">
        <v>2053</v>
      </c>
      <c r="B49" s="54">
        <v>24</v>
      </c>
      <c r="C49" s="63">
        <f t="shared" si="1"/>
        <v>463941.51683533302</v>
      </c>
      <c r="D49" s="62">
        <f t="shared" si="6"/>
        <v>277512.944770284</v>
      </c>
      <c r="E49" s="62">
        <f t="shared" si="7"/>
        <v>234818.64557485568</v>
      </c>
      <c r="F49" s="63">
        <f t="shared" si="8"/>
        <v>42694.299195428321</v>
      </c>
      <c r="G49" s="65">
        <f t="shared" si="4"/>
        <v>792982.56610628776</v>
      </c>
      <c r="H49" s="66">
        <f>G49/Discount!B34</f>
        <v>97356.853890870974</v>
      </c>
    </row>
    <row r="50" spans="1:8" s="54" customFormat="1">
      <c r="A50" s="54">
        <v>2054</v>
      </c>
      <c r="B50" s="54">
        <v>25</v>
      </c>
      <c r="C50" s="63">
        <f t="shared" si="1"/>
        <v>472153.28168331843</v>
      </c>
      <c r="D50" s="62">
        <f t="shared" si="6"/>
        <v>282424.92389271804</v>
      </c>
      <c r="E50" s="62">
        <f t="shared" si="7"/>
        <v>238974.93560153065</v>
      </c>
      <c r="F50" s="63">
        <f t="shared" si="8"/>
        <v>43449.988291187386</v>
      </c>
      <c r="G50" s="65">
        <f t="shared" si="4"/>
        <v>807018.35752636893</v>
      </c>
      <c r="H50" s="66">
        <f>G50/Discount!B35</f>
        <v>92598.196453027456</v>
      </c>
    </row>
    <row r="51" spans="1:8" s="54" customFormat="1">
      <c r="A51" s="54">
        <v>2055</v>
      </c>
      <c r="B51" s="54">
        <v>26</v>
      </c>
      <c r="C51" s="63">
        <f t="shared" si="1"/>
        <v>480510.39476911322</v>
      </c>
      <c r="D51" s="62">
        <f t="shared" si="6"/>
        <v>287423.84504561912</v>
      </c>
      <c r="E51" s="62">
        <f t="shared" si="7"/>
        <v>243204.79196167778</v>
      </c>
      <c r="F51" s="63">
        <f t="shared" si="8"/>
        <v>44219.05308394134</v>
      </c>
      <c r="G51" s="65">
        <f t="shared" si="4"/>
        <v>821302.58245458454</v>
      </c>
      <c r="H51" s="66">
        <f>G51/Discount!B36</f>
        <v>88072.135074996186</v>
      </c>
    </row>
    <row r="52" spans="1:8" s="54" customFormat="1">
      <c r="A52" s="54">
        <v>2056</v>
      </c>
      <c r="B52" s="54">
        <v>27</v>
      </c>
      <c r="C52" s="63">
        <f t="shared" si="1"/>
        <v>489015.42875652655</v>
      </c>
      <c r="D52" s="62">
        <f t="shared" si="6"/>
        <v>292511.24710292666</v>
      </c>
      <c r="E52" s="62">
        <f t="shared" si="7"/>
        <v>247509.51677939951</v>
      </c>
      <c r="F52" s="63">
        <f t="shared" si="8"/>
        <v>45001.730323527154</v>
      </c>
      <c r="G52" s="65">
        <f t="shared" si="4"/>
        <v>835839.63816403155</v>
      </c>
      <c r="H52" s="66">
        <f>G52/Discount!B37</f>
        <v>83767.300809181048</v>
      </c>
    </row>
    <row r="53" spans="1:8" s="54" customFormat="1">
      <c r="A53" s="54">
        <v>2057</v>
      </c>
      <c r="B53" s="54">
        <v>28</v>
      </c>
      <c r="C53" s="63">
        <f t="shared" si="1"/>
        <v>497671.00184551708</v>
      </c>
      <c r="D53" s="62">
        <f t="shared" si="6"/>
        <v>297688.69617664843</v>
      </c>
      <c r="E53" s="62">
        <f t="shared" si="7"/>
        <v>251890.43522639482</v>
      </c>
      <c r="F53" s="63">
        <f t="shared" si="8"/>
        <v>45798.260950253607</v>
      </c>
      <c r="G53" s="65">
        <f t="shared" si="4"/>
        <v>850633.99975953531</v>
      </c>
      <c r="H53" s="66">
        <f>G53/Discount!B38</f>
        <v>79672.880405143529</v>
      </c>
    </row>
    <row r="54" spans="1:8" s="54" customFormat="1">
      <c r="A54" s="54">
        <v>2058</v>
      </c>
      <c r="B54" s="54">
        <v>29</v>
      </c>
      <c r="C54" s="63">
        <f t="shared" si="1"/>
        <v>506479.77857818274</v>
      </c>
      <c r="D54" s="62">
        <f t="shared" si="6"/>
        <v>302957.78609897511</v>
      </c>
      <c r="E54" s="62">
        <f t="shared" si="7"/>
        <v>256348.89592990206</v>
      </c>
      <c r="F54" s="63">
        <f t="shared" si="8"/>
        <v>46608.890169073042</v>
      </c>
      <c r="G54" s="65">
        <f t="shared" si="4"/>
        <v>865690.22155527817</v>
      </c>
      <c r="H54" s="66">
        <f>G54/Discount!B39</f>
        <v>75778.589147957464</v>
      </c>
    </row>
    <row r="55" spans="1:8" s="54" customFormat="1">
      <c r="A55" s="54">
        <v>2059</v>
      </c>
      <c r="B55" s="54">
        <v>30</v>
      </c>
      <c r="C55" s="63">
        <f t="shared" si="1"/>
        <v>515444.47065901657</v>
      </c>
      <c r="D55" s="62">
        <f t="shared" si="6"/>
        <v>308320.13891292701</v>
      </c>
      <c r="E55" s="62">
        <f t="shared" si="7"/>
        <v>260886.27138786134</v>
      </c>
      <c r="F55" s="63">
        <f t="shared" si="8"/>
        <v>47433.867525065667</v>
      </c>
      <c r="G55" s="65">
        <f t="shared" si="4"/>
        <v>881012.93847680721</v>
      </c>
      <c r="H55" s="66">
        <f>G55/Discount!B40</f>
        <v>72074.645024183512</v>
      </c>
    </row>
    <row r="56" spans="1:8" s="54" customFormat="1" ht="15.75" thickBot="1">
      <c r="A56" s="67" t="s">
        <v>387</v>
      </c>
      <c r="B56" s="67"/>
      <c r="C56" s="67"/>
      <c r="D56" s="67"/>
      <c r="E56" s="68"/>
      <c r="F56" s="69"/>
      <c r="G56" s="70">
        <f>SUM(G26:G55)</f>
        <v>20730658.756714754</v>
      </c>
      <c r="H56" s="70">
        <f>SUM(H26:H45)</f>
        <v>3992024.2030338747</v>
      </c>
    </row>
    <row r="57" spans="1:8" s="54" customFormat="1" ht="15.75" thickTop="1">
      <c r="F57" s="63"/>
    </row>
    <row r="58" spans="1:8" s="54" customFormat="1"/>
    <row r="59" spans="1:8" s="54" customFormat="1"/>
    <row r="60" spans="1:8" s="54" customFormat="1"/>
    <row r="61" spans="1:8" s="54" customFormat="1"/>
    <row r="62" spans="1:8" s="54" customFormat="1"/>
    <row r="63" spans="1:8" s="54" customFormat="1"/>
    <row r="64" spans="1:8"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row r="242" s="54" customFormat="1"/>
    <row r="243" s="54" customFormat="1"/>
    <row r="244" s="54" customFormat="1"/>
    <row r="245" s="54" customFormat="1"/>
    <row r="246" s="54" customFormat="1"/>
    <row r="247" s="54" customFormat="1"/>
    <row r="248" s="54" customFormat="1"/>
    <row r="249" s="54" customFormat="1"/>
    <row r="250" s="54" customFormat="1"/>
    <row r="251" s="54" customFormat="1"/>
    <row r="252" s="54" customFormat="1"/>
    <row r="253" s="54" customFormat="1"/>
    <row r="254" s="54" customFormat="1"/>
    <row r="255" s="54" customFormat="1"/>
    <row r="256" s="54" customFormat="1"/>
    <row r="257" s="54" customFormat="1"/>
    <row r="258" s="54" customFormat="1"/>
    <row r="259" s="54" customFormat="1"/>
    <row r="260" s="54" customFormat="1"/>
    <row r="261" s="54" customFormat="1"/>
    <row r="262" s="54" customFormat="1"/>
    <row r="263" s="54" customFormat="1"/>
    <row r="264" s="54" customFormat="1"/>
    <row r="265" s="54" customFormat="1"/>
    <row r="266" s="54" customFormat="1"/>
    <row r="267" s="54" customFormat="1"/>
    <row r="268" s="54" customFormat="1"/>
    <row r="269" s="54" customFormat="1"/>
    <row r="270" s="54" customFormat="1"/>
    <row r="271" s="54" customFormat="1"/>
    <row r="272" s="54" customFormat="1"/>
    <row r="273" s="54" customFormat="1"/>
    <row r="274" s="54" customFormat="1"/>
    <row r="275" s="54" customFormat="1"/>
    <row r="276" s="54" customFormat="1"/>
    <row r="277" s="54" customFormat="1"/>
    <row r="278" s="54" customFormat="1"/>
    <row r="279" s="54" customFormat="1"/>
    <row r="280" s="54" customFormat="1"/>
    <row r="281" s="54" customFormat="1"/>
    <row r="282" s="54" customFormat="1"/>
    <row r="283" s="54" customFormat="1"/>
    <row r="284" s="54" customFormat="1"/>
    <row r="285" s="54" customFormat="1"/>
    <row r="286" s="54" customFormat="1"/>
    <row r="287" s="54" customFormat="1"/>
    <row r="288" s="54" customFormat="1"/>
    <row r="289" s="54" customFormat="1"/>
    <row r="290" s="54" customFormat="1"/>
    <row r="291" s="54" customFormat="1"/>
    <row r="292" s="54" customFormat="1"/>
    <row r="293" s="54" customFormat="1"/>
    <row r="294" s="54" customFormat="1"/>
    <row r="295" s="54" customFormat="1"/>
    <row r="296" s="54" customFormat="1"/>
    <row r="297" s="54" customFormat="1"/>
    <row r="298" s="54" customFormat="1"/>
    <row r="299" s="54" customFormat="1"/>
    <row r="300" s="54" customFormat="1"/>
    <row r="301" s="54" customFormat="1"/>
    <row r="302" s="54" customFormat="1"/>
    <row r="303" s="54" customFormat="1"/>
    <row r="304" s="54" customFormat="1"/>
    <row r="305" s="54" customFormat="1"/>
    <row r="306" s="54" customFormat="1"/>
    <row r="307" s="54" customFormat="1"/>
    <row r="308" s="54" customFormat="1"/>
    <row r="309" s="54" customFormat="1"/>
    <row r="310" s="54" customFormat="1"/>
    <row r="311" s="54" customFormat="1"/>
    <row r="312" s="54" customFormat="1"/>
    <row r="313" s="54" customFormat="1"/>
    <row r="314" s="54" customFormat="1"/>
    <row r="315" s="54" customFormat="1"/>
    <row r="316" s="54" customFormat="1"/>
    <row r="317" s="54" customFormat="1"/>
    <row r="318" s="54" customFormat="1"/>
    <row r="319" s="54" customFormat="1"/>
    <row r="320" s="54" customFormat="1"/>
    <row r="321" s="54" customFormat="1"/>
    <row r="322" s="54" customFormat="1"/>
    <row r="323" s="54" customFormat="1"/>
    <row r="324" s="54" customFormat="1"/>
    <row r="325" s="54" customFormat="1"/>
    <row r="326" s="54" customFormat="1"/>
    <row r="327" s="54" customFormat="1"/>
    <row r="328" s="54" customFormat="1"/>
    <row r="329" s="54" customFormat="1"/>
    <row r="330" s="54" customFormat="1"/>
    <row r="331" s="54" customFormat="1"/>
    <row r="332" s="54" customFormat="1"/>
    <row r="333" s="54" customFormat="1"/>
    <row r="334" s="54" customFormat="1"/>
    <row r="335" s="54" customFormat="1"/>
    <row r="336" s="54" customFormat="1"/>
    <row r="337" s="54" customFormat="1"/>
    <row r="338" s="54" customFormat="1"/>
    <row r="339" s="54" customFormat="1"/>
    <row r="340" s="54" customFormat="1"/>
    <row r="341" s="54" customFormat="1"/>
    <row r="342" s="54" customFormat="1"/>
    <row r="343" s="54" customFormat="1"/>
    <row r="344" s="54" customFormat="1"/>
    <row r="345" s="54" customFormat="1"/>
    <row r="346" s="54" customFormat="1"/>
    <row r="347" s="54" customFormat="1"/>
    <row r="348" s="54" customFormat="1"/>
    <row r="349" s="54" customFormat="1"/>
    <row r="350" s="54" customFormat="1"/>
    <row r="351" s="54" customFormat="1"/>
    <row r="352" s="54" customFormat="1"/>
    <row r="353" s="54" customFormat="1"/>
    <row r="354" s="54" customFormat="1"/>
    <row r="355" s="54" customFormat="1"/>
    <row r="356" s="54" customFormat="1"/>
    <row r="357" s="54" customFormat="1"/>
    <row r="358" s="54" customFormat="1"/>
    <row r="359" s="54" customFormat="1"/>
    <row r="360" s="54" customFormat="1"/>
    <row r="361" s="54" customFormat="1"/>
    <row r="362" s="54" customFormat="1"/>
    <row r="363" s="54" customFormat="1"/>
    <row r="364" s="54" customFormat="1"/>
    <row r="365" s="54" customFormat="1"/>
    <row r="366" s="54" customFormat="1"/>
    <row r="367" s="54" customFormat="1"/>
    <row r="368" s="54" customFormat="1"/>
    <row r="369" s="54" customFormat="1"/>
    <row r="370" s="54" customFormat="1"/>
    <row r="371" s="54" customFormat="1"/>
    <row r="372" s="54" customFormat="1"/>
    <row r="373" s="54" customFormat="1"/>
    <row r="374" s="54" customFormat="1"/>
    <row r="375" s="54" customFormat="1"/>
    <row r="376" s="54" customFormat="1"/>
    <row r="377" s="54" customFormat="1"/>
    <row r="378" s="54" customFormat="1"/>
    <row r="379" s="54" customFormat="1"/>
    <row r="380" s="54" customFormat="1"/>
    <row r="381" s="54" customFormat="1"/>
    <row r="382" s="54" customFormat="1"/>
    <row r="383" s="54" customFormat="1"/>
    <row r="384" s="54" customFormat="1"/>
    <row r="385" s="54" customFormat="1"/>
    <row r="386" s="54" customFormat="1"/>
    <row r="387" s="54" customFormat="1"/>
    <row r="388" s="54" customFormat="1"/>
    <row r="389" s="54" customFormat="1"/>
    <row r="390" s="54" customFormat="1"/>
    <row r="391" s="54" customFormat="1"/>
    <row r="392" s="54" customFormat="1"/>
    <row r="393" s="54" customFormat="1"/>
    <row r="394" s="54" customFormat="1"/>
    <row r="395" s="54" customFormat="1"/>
    <row r="396" s="54" customFormat="1"/>
    <row r="397" s="54" customFormat="1"/>
    <row r="398" s="54" customFormat="1"/>
    <row r="399" s="54" customFormat="1"/>
    <row r="400" s="54" customFormat="1"/>
    <row r="401" s="54" customFormat="1"/>
    <row r="402" s="54" customFormat="1"/>
    <row r="403" s="54" customFormat="1"/>
    <row r="404" s="54" customFormat="1"/>
    <row r="405" s="54" customFormat="1"/>
    <row r="406" s="54" customFormat="1"/>
    <row r="407" s="54" customFormat="1"/>
    <row r="408" s="54" customFormat="1"/>
    <row r="409" s="54" customFormat="1"/>
    <row r="410" s="54" customFormat="1"/>
  </sheetData>
  <mergeCells count="4">
    <mergeCell ref="A1:H1"/>
    <mergeCell ref="A2:H2"/>
    <mergeCell ref="A3:H3"/>
    <mergeCell ref="A4:H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95945-270E-4F35-9EA2-00E2C39730B0}">
  <dimension ref="A1:H398"/>
  <sheetViews>
    <sheetView zoomScaleNormal="100" workbookViewId="0">
      <selection activeCell="A56" sqref="A56"/>
    </sheetView>
  </sheetViews>
  <sheetFormatPr defaultRowHeight="15"/>
  <cols>
    <col min="1" max="1" width="17.28515625" customWidth="1"/>
    <col min="2" max="2" width="14.7109375" customWidth="1"/>
    <col min="3" max="3" width="17.42578125" customWidth="1"/>
    <col min="4" max="4" width="24.7109375" customWidth="1"/>
    <col min="5" max="5" width="16" customWidth="1"/>
    <col min="6" max="6" width="28" customWidth="1"/>
    <col min="7" max="8" width="17.7109375" customWidth="1"/>
  </cols>
  <sheetData>
    <row r="1" spans="1:8" ht="23.25">
      <c r="A1" s="262" t="s">
        <v>10</v>
      </c>
      <c r="B1" s="262"/>
      <c r="C1" s="262"/>
      <c r="D1" s="262"/>
      <c r="E1" s="262"/>
      <c r="F1" s="262"/>
      <c r="G1" s="262"/>
      <c r="H1" s="262"/>
    </row>
    <row r="2" spans="1:8" ht="20.25" thickBot="1">
      <c r="A2" s="263" t="s">
        <v>9</v>
      </c>
      <c r="B2" s="263"/>
      <c r="C2" s="263"/>
      <c r="D2" s="263"/>
      <c r="E2" s="263"/>
      <c r="F2" s="263"/>
      <c r="G2" s="263"/>
      <c r="H2" s="263"/>
    </row>
    <row r="3" spans="1:8" ht="21" thickTop="1" thickBot="1">
      <c r="A3" s="263" t="s">
        <v>1</v>
      </c>
      <c r="B3" s="263"/>
      <c r="C3" s="263"/>
      <c r="D3" s="263"/>
      <c r="E3" s="263"/>
      <c r="F3" s="263"/>
      <c r="G3" s="263"/>
      <c r="H3" s="263"/>
    </row>
    <row r="4" spans="1:8" ht="16.5" thickTop="1" thickBot="1">
      <c r="A4" s="285" t="s">
        <v>624</v>
      </c>
      <c r="B4" s="285"/>
      <c r="C4" s="285"/>
      <c r="D4" s="285"/>
      <c r="E4" s="285"/>
      <c r="F4" s="285"/>
      <c r="G4" s="285"/>
      <c r="H4" s="285"/>
    </row>
    <row r="5" spans="1:8">
      <c r="A5" s="211"/>
      <c r="B5" s="211"/>
      <c r="C5" s="211"/>
      <c r="D5" s="211"/>
      <c r="E5" s="211"/>
    </row>
    <row r="6" spans="1:8" s="54" customFormat="1" ht="32.65" customHeight="1">
      <c r="A6" s="122" t="s">
        <v>627</v>
      </c>
      <c r="B6" s="222">
        <f>(B8/B7)/100</f>
        <v>1.0212866603595081E-2</v>
      </c>
      <c r="C6" s="91"/>
      <c r="D6" s="224"/>
      <c r="E6" s="98"/>
      <c r="F6" s="98"/>
    </row>
    <row r="7" spans="1:8" s="54" customFormat="1">
      <c r="A7" s="126" t="s">
        <v>625</v>
      </c>
      <c r="B7" s="174">
        <v>21.14</v>
      </c>
      <c r="C7" s="225" t="s">
        <v>629</v>
      </c>
      <c r="D7" s="224"/>
      <c r="E7" s="98"/>
      <c r="F7" s="98"/>
    </row>
    <row r="8" spans="1:8" s="54" customFormat="1">
      <c r="A8" s="126" t="s">
        <v>626</v>
      </c>
      <c r="B8" s="174">
        <v>21.59</v>
      </c>
      <c r="C8" s="226"/>
      <c r="D8" s="224"/>
      <c r="E8" s="98"/>
      <c r="F8" s="98"/>
    </row>
    <row r="9" spans="1:8" s="54" customFormat="1" ht="15.95" customHeight="1">
      <c r="A9" s="126"/>
      <c r="B9" s="221"/>
      <c r="C9" s="98"/>
      <c r="D9" s="227"/>
      <c r="E9" s="228"/>
      <c r="F9" s="229"/>
    </row>
    <row r="10" spans="1:8" s="54" customFormat="1" ht="15" customHeight="1">
      <c r="A10" s="120" t="s">
        <v>628</v>
      </c>
      <c r="B10" s="124">
        <v>1.4999999999999999E-2</v>
      </c>
      <c r="C10" s="98"/>
      <c r="D10" s="227"/>
      <c r="E10" s="228"/>
      <c r="F10" s="98"/>
    </row>
    <row r="11" spans="1:8" s="54" customFormat="1">
      <c r="A11" s="120" t="s">
        <v>630</v>
      </c>
      <c r="B11" s="23">
        <v>30227</v>
      </c>
      <c r="C11" s="98" t="s">
        <v>632</v>
      </c>
      <c r="D11" s="227"/>
      <c r="E11" s="230"/>
      <c r="F11" s="98"/>
    </row>
    <row r="12" spans="1:8" s="54" customFormat="1">
      <c r="A12" s="120" t="s">
        <v>631</v>
      </c>
      <c r="B12" s="24">
        <f>21.59*1000000</f>
        <v>21590000</v>
      </c>
      <c r="C12" s="225" t="s">
        <v>629</v>
      </c>
      <c r="D12" s="227"/>
      <c r="E12" s="98"/>
      <c r="F12" s="98"/>
    </row>
    <row r="13" spans="1:8" s="54" customFormat="1"/>
    <row r="14" spans="1:8" s="54" customFormat="1" ht="60">
      <c r="A14" s="61" t="s">
        <v>25</v>
      </c>
      <c r="B14" s="61" t="s">
        <v>26</v>
      </c>
      <c r="C14" s="61" t="s">
        <v>633</v>
      </c>
      <c r="D14" s="61" t="s">
        <v>634</v>
      </c>
      <c r="E14" s="61" t="s">
        <v>28</v>
      </c>
    </row>
    <row r="15" spans="1:8" s="54" customFormat="1">
      <c r="A15" s="54">
        <v>2019</v>
      </c>
      <c r="C15" s="223">
        <f>$B$12</f>
        <v>21590000</v>
      </c>
      <c r="D15" s="223"/>
    </row>
    <row r="16" spans="1:8" s="54" customFormat="1">
      <c r="A16" s="54">
        <v>2020</v>
      </c>
      <c r="C16" s="223">
        <f>C15*(1+$B$6)</f>
        <v>21810495.789971616</v>
      </c>
      <c r="D16" s="223"/>
    </row>
    <row r="17" spans="1:6" s="54" customFormat="1">
      <c r="A17" s="54">
        <v>2021</v>
      </c>
      <c r="C17" s="223">
        <f t="shared" ref="C17:C55" si="0">C16*(1+$B$6)</f>
        <v>22033243.474032868</v>
      </c>
      <c r="D17" s="223"/>
    </row>
    <row r="18" spans="1:6" s="54" customFormat="1">
      <c r="A18" s="54">
        <v>2022</v>
      </c>
      <c r="C18" s="223">
        <f t="shared" si="0"/>
        <v>22258266.050477695</v>
      </c>
      <c r="D18" s="223"/>
      <c r="F18" s="64"/>
    </row>
    <row r="19" spans="1:6" s="54" customFormat="1">
      <c r="A19" s="54">
        <v>2023</v>
      </c>
      <c r="C19" s="223">
        <f t="shared" si="0"/>
        <v>22485586.752478551</v>
      </c>
      <c r="D19" s="223"/>
    </row>
    <row r="20" spans="1:6" s="54" customFormat="1">
      <c r="A20" s="54">
        <v>2024</v>
      </c>
      <c r="C20" s="223">
        <f t="shared" si="0"/>
        <v>22715229.050485179</v>
      </c>
      <c r="D20" s="223"/>
    </row>
    <row r="21" spans="1:6" s="54" customFormat="1">
      <c r="A21" s="54">
        <v>2025</v>
      </c>
      <c r="C21" s="223">
        <f t="shared" si="0"/>
        <v>22947216.65464789</v>
      </c>
      <c r="D21" s="223"/>
    </row>
    <row r="22" spans="1:6" s="54" customFormat="1">
      <c r="A22" s="54">
        <v>2026</v>
      </c>
      <c r="C22" s="223">
        <f t="shared" si="0"/>
        <v>23181573.517265603</v>
      </c>
      <c r="D22" s="223"/>
    </row>
    <row r="23" spans="1:6" s="54" customFormat="1">
      <c r="A23" s="54">
        <v>2027</v>
      </c>
      <c r="C23" s="223">
        <f t="shared" si="0"/>
        <v>23418323.835258868</v>
      </c>
      <c r="D23" s="223"/>
    </row>
    <row r="24" spans="1:6" s="54" customFormat="1">
      <c r="A24" s="54">
        <v>2028</v>
      </c>
      <c r="C24" s="223">
        <f t="shared" si="0"/>
        <v>23657492.052668154</v>
      </c>
      <c r="D24" s="223"/>
    </row>
    <row r="25" spans="1:6" s="54" customFormat="1">
      <c r="A25" s="54">
        <v>2029</v>
      </c>
      <c r="C25" s="223">
        <f t="shared" si="0"/>
        <v>23899102.863177665</v>
      </c>
      <c r="D25" s="223"/>
    </row>
    <row r="26" spans="1:6" s="54" customFormat="1">
      <c r="A26" s="54">
        <v>2030</v>
      </c>
      <c r="B26" s="54">
        <v>1</v>
      </c>
      <c r="C26" s="223">
        <f t="shared" si="0"/>
        <v>24143181.212664895</v>
      </c>
      <c r="D26" s="223">
        <f t="shared" ref="D26:D55" si="1">C26*$B$10</f>
        <v>362147.71818997338</v>
      </c>
      <c r="E26" s="66">
        <f>D26/Discount!B11</f>
        <v>210773.26918401828</v>
      </c>
    </row>
    <row r="27" spans="1:6" s="54" customFormat="1">
      <c r="A27" s="54">
        <v>2031</v>
      </c>
      <c r="B27" s="54">
        <v>2</v>
      </c>
      <c r="C27" s="223">
        <f t="shared" si="0"/>
        <v>24389752.301776264</v>
      </c>
      <c r="D27" s="223">
        <f t="shared" si="1"/>
        <v>365846.28452664393</v>
      </c>
      <c r="E27" s="66">
        <f>D27/Discount!B12</f>
        <v>198996.13875308252</v>
      </c>
    </row>
    <row r="28" spans="1:6" s="54" customFormat="1">
      <c r="A28" s="54">
        <v>2032</v>
      </c>
      <c r="B28" s="54">
        <v>3</v>
      </c>
      <c r="C28" s="223">
        <f t="shared" si="0"/>
        <v>24638841.588529028</v>
      </c>
      <c r="D28" s="223">
        <f t="shared" si="1"/>
        <v>369582.62382793543</v>
      </c>
      <c r="E28" s="66">
        <f>D28/Discount!B13</f>
        <v>187877.06520822266</v>
      </c>
    </row>
    <row r="29" spans="1:6" s="54" customFormat="1">
      <c r="A29" s="54">
        <v>2033</v>
      </c>
      <c r="B29" s="54">
        <v>4</v>
      </c>
      <c r="C29" s="223">
        <f t="shared" si="0"/>
        <v>24890474.790939782</v>
      </c>
      <c r="D29" s="223">
        <f t="shared" si="1"/>
        <v>373357.12186409673</v>
      </c>
      <c r="E29" s="66">
        <f>D29/Discount!B14</f>
        <v>177379.27907763468</v>
      </c>
    </row>
    <row r="30" spans="1:6" s="54" customFormat="1">
      <c r="A30" s="54">
        <v>2034</v>
      </c>
      <c r="B30" s="54">
        <v>5</v>
      </c>
      <c r="C30" s="223">
        <f t="shared" si="0"/>
        <v>25144677.889679793</v>
      </c>
      <c r="D30" s="223">
        <f t="shared" si="1"/>
        <v>377170.16834519687</v>
      </c>
      <c r="E30" s="66">
        <f>D30/Discount!B15</f>
        <v>167468.06541410883</v>
      </c>
    </row>
    <row r="31" spans="1:6" s="54" customFormat="1">
      <c r="A31" s="54">
        <v>2035</v>
      </c>
      <c r="B31" s="54">
        <v>6</v>
      </c>
      <c r="C31" s="223">
        <f t="shared" si="0"/>
        <v>25401477.130757459</v>
      </c>
      <c r="D31" s="223">
        <f t="shared" si="1"/>
        <v>381022.15696136188</v>
      </c>
      <c r="E31" s="66">
        <f>D31/Discount!B16</f>
        <v>158110.64899677126</v>
      </c>
    </row>
    <row r="32" spans="1:6" s="54" customFormat="1">
      <c r="A32" s="54">
        <v>2036</v>
      </c>
      <c r="B32" s="54">
        <v>7</v>
      </c>
      <c r="C32" s="223">
        <f t="shared" si="0"/>
        <v>25660899.028228153</v>
      </c>
      <c r="D32" s="223">
        <f t="shared" si="1"/>
        <v>384913.4854234223</v>
      </c>
      <c r="E32" s="66">
        <f>D32/Discount!B17</f>
        <v>149276.08594727394</v>
      </c>
    </row>
    <row r="33" spans="1:5" s="54" customFormat="1">
      <c r="A33" s="54">
        <v>2037</v>
      </c>
      <c r="B33" s="54">
        <v>8</v>
      </c>
      <c r="C33" s="223">
        <f t="shared" si="0"/>
        <v>25922970.366931766</v>
      </c>
      <c r="D33" s="223">
        <f t="shared" si="1"/>
        <v>388844.55550397647</v>
      </c>
      <c r="E33" s="66">
        <f>D33/Discount!B18</f>
        <v>140935.16140201889</v>
      </c>
    </row>
    <row r="34" spans="1:5" s="54" customFormat="1">
      <c r="A34" s="54">
        <v>2038</v>
      </c>
      <c r="B34" s="54">
        <v>9</v>
      </c>
      <c r="C34" s="223">
        <f t="shared" si="0"/>
        <v>26187718.205258187</v>
      </c>
      <c r="D34" s="223">
        <f t="shared" si="1"/>
        <v>392815.77307887276</v>
      </c>
      <c r="E34" s="66">
        <f>D34/Discount!B19</f>
        <v>133060.29290203162</v>
      </c>
    </row>
    <row r="35" spans="1:5" s="54" customFormat="1">
      <c r="A35" s="54">
        <v>2039</v>
      </c>
      <c r="B35" s="54">
        <v>10</v>
      </c>
      <c r="C35" s="223">
        <f t="shared" si="0"/>
        <v>26455169.877941024</v>
      </c>
      <c r="D35" s="223">
        <f t="shared" si="1"/>
        <v>396827.54816911533</v>
      </c>
      <c r="E35" s="66">
        <f>D35/Discount!B20</f>
        <v>125625.439181005</v>
      </c>
    </row>
    <row r="36" spans="1:5" s="54" customFormat="1">
      <c r="A36" s="54">
        <v>2040</v>
      </c>
      <c r="B36" s="54">
        <v>11</v>
      </c>
      <c r="C36" s="223">
        <f t="shared" si="0"/>
        <v>26725352.99887988</v>
      </c>
      <c r="D36" s="223">
        <f t="shared" si="1"/>
        <v>400880.29498319817</v>
      </c>
      <c r="E36" s="66">
        <f>D36/Discount!B21</f>
        <v>118606.01404988658</v>
      </c>
    </row>
    <row r="37" spans="1:5" s="54" customFormat="1">
      <c r="A37" s="54">
        <v>2041</v>
      </c>
      <c r="B37" s="54">
        <v>12</v>
      </c>
      <c r="C37" s="223">
        <f t="shared" si="0"/>
        <v>26998295.463991426</v>
      </c>
      <c r="D37" s="223">
        <f t="shared" si="1"/>
        <v>404974.43195987138</v>
      </c>
      <c r="E37" s="66">
        <f>D37/Discount!B22</f>
        <v>111978.80509323567</v>
      </c>
    </row>
    <row r="38" spans="1:5" s="54" customFormat="1">
      <c r="A38" s="54">
        <v>2042</v>
      </c>
      <c r="B38" s="54">
        <v>13</v>
      </c>
      <c r="C38" s="223">
        <f t="shared" si="0"/>
        <v>27274025.454089615</v>
      </c>
      <c r="D38" s="223">
        <f t="shared" si="1"/>
        <v>409110.38181134424</v>
      </c>
      <c r="E38" s="66">
        <f>D38/Discount!B23</f>
        <v>105721.89690848866</v>
      </c>
    </row>
    <row r="39" spans="1:5" s="54" customFormat="1">
      <c r="A39" s="54">
        <v>2043</v>
      </c>
      <c r="B39" s="54">
        <v>14</v>
      </c>
      <c r="C39" s="223">
        <f t="shared" si="0"/>
        <v>27552571.437795289</v>
      </c>
      <c r="D39" s="223">
        <f t="shared" si="1"/>
        <v>413288.57156692934</v>
      </c>
      <c r="E39" s="66">
        <f>D39/Discount!B24</f>
        <v>99814.598634293536</v>
      </c>
    </row>
    <row r="40" spans="1:5" s="54" customFormat="1">
      <c r="A40" s="54">
        <v>2044</v>
      </c>
      <c r="B40" s="54">
        <v>15</v>
      </c>
      <c r="C40" s="223">
        <f t="shared" si="0"/>
        <v>27833962.174475513</v>
      </c>
      <c r="D40" s="223">
        <f t="shared" si="1"/>
        <v>417509.43261713267</v>
      </c>
      <c r="E40" s="66">
        <f>D40/Discount!B25</f>
        <v>94237.375528258824</v>
      </c>
    </row>
    <row r="41" spans="1:5" s="54" customFormat="1">
      <c r="A41" s="54">
        <v>2045</v>
      </c>
      <c r="B41" s="54">
        <v>16</v>
      </c>
      <c r="C41" s="223">
        <f t="shared" si="0"/>
        <v>28118226.717212941</v>
      </c>
      <c r="D41" s="223">
        <f t="shared" si="1"/>
        <v>421773.4007581941</v>
      </c>
      <c r="E41" s="66">
        <f>D41/Discount!B26</f>
        <v>88971.784367852175</v>
      </c>
    </row>
    <row r="42" spans="1:5" s="54" customFormat="1">
      <c r="A42" s="54">
        <v>2046</v>
      </c>
      <c r="B42" s="54">
        <v>17</v>
      </c>
      <c r="C42" s="223">
        <f t="shared" si="0"/>
        <v>28405394.415805478</v>
      </c>
      <c r="D42" s="223">
        <f t="shared" si="1"/>
        <v>426080.91623708216</v>
      </c>
      <c r="E42" s="66">
        <f>D42/Discount!B27</f>
        <v>84000.412460826978</v>
      </c>
    </row>
    <row r="43" spans="1:5" s="54" customFormat="1">
      <c r="A43" s="54">
        <v>2047</v>
      </c>
      <c r="B43" s="54">
        <v>18</v>
      </c>
      <c r="C43" s="223">
        <f t="shared" si="0"/>
        <v>28695494.919796601</v>
      </c>
      <c r="D43" s="223">
        <f t="shared" si="1"/>
        <v>430432.42379694898</v>
      </c>
      <c r="E43" s="66">
        <f>D43/Discount!B28</f>
        <v>79306.820063491905</v>
      </c>
    </row>
    <row r="44" spans="1:5" s="54" customFormat="1">
      <c r="A44" s="54">
        <v>2048</v>
      </c>
      <c r="B44" s="54">
        <v>19</v>
      </c>
      <c r="C44" s="223">
        <f t="shared" si="0"/>
        <v>28988558.181536622</v>
      </c>
      <c r="D44" s="223">
        <f t="shared" si="1"/>
        <v>434828.37272304931</v>
      </c>
      <c r="E44" s="66">
        <f>D44/Discount!B29</f>
        <v>74875.486016407172</v>
      </c>
    </row>
    <row r="45" spans="1:5" s="54" customFormat="1">
      <c r="A45" s="54">
        <v>2049</v>
      </c>
      <c r="B45" s="54">
        <v>20</v>
      </c>
      <c r="C45" s="223">
        <f t="shared" si="0"/>
        <v>29284614.459275208</v>
      </c>
      <c r="D45" s="223">
        <f t="shared" si="1"/>
        <v>439269.21688912809</v>
      </c>
      <c r="E45" s="66">
        <f>D45/Discount!B30</f>
        <v>70691.75641773091</v>
      </c>
    </row>
    <row r="46" spans="1:5" s="54" customFormat="1">
      <c r="A46" s="54">
        <v>2050</v>
      </c>
      <c r="B46" s="54">
        <v>21</v>
      </c>
      <c r="C46" s="223">
        <f t="shared" si="0"/>
        <v>29583694.320285495</v>
      </c>
      <c r="D46" s="223">
        <f t="shared" si="1"/>
        <v>443755.41480428242</v>
      </c>
      <c r="E46" s="66">
        <f>D46/Discount!B31</f>
        <v>66741.796164485088</v>
      </c>
    </row>
    <row r="47" spans="1:5" s="54" customFormat="1">
      <c r="A47" s="54">
        <v>2051</v>
      </c>
      <c r="B47" s="54">
        <v>22</v>
      </c>
      <c r="C47" s="223">
        <f t="shared" si="0"/>
        <v>29885828.644020103</v>
      </c>
      <c r="D47" s="223">
        <f t="shared" si="1"/>
        <v>448287.42966030154</v>
      </c>
      <c r="E47" s="66">
        <f>D47/Discount!B32</f>
        <v>63012.543201492801</v>
      </c>
    </row>
    <row r="48" spans="1:5" s="54" customFormat="1">
      <c r="A48" s="54">
        <v>2052</v>
      </c>
      <c r="B48" s="54">
        <v>23</v>
      </c>
      <c r="C48" s="223">
        <f t="shared" si="0"/>
        <v>30191048.625299379</v>
      </c>
      <c r="D48" s="223">
        <f t="shared" si="1"/>
        <v>452865.72937949066</v>
      </c>
      <c r="E48" s="66">
        <f>D48/Discount!B33</f>
        <v>59491.66532669431</v>
      </c>
    </row>
    <row r="49" spans="1:6" s="54" customFormat="1">
      <c r="A49" s="54">
        <v>2053</v>
      </c>
      <c r="B49" s="54">
        <v>24</v>
      </c>
      <c r="C49" s="223">
        <f t="shared" si="0"/>
        <v>30499385.777532212</v>
      </c>
      <c r="D49" s="223">
        <f t="shared" si="1"/>
        <v>457490.78666298318</v>
      </c>
      <c r="E49" s="66">
        <f>D49/Discount!B34</f>
        <v>56167.519410001449</v>
      </c>
    </row>
    <row r="50" spans="1:6" s="54" customFormat="1">
      <c r="A50" s="54">
        <v>2054</v>
      </c>
      <c r="B50" s="54">
        <v>25</v>
      </c>
      <c r="C50" s="223">
        <f t="shared" si="0"/>
        <v>30810871.935969733</v>
      </c>
      <c r="D50" s="223">
        <f t="shared" si="1"/>
        <v>462163.07903954596</v>
      </c>
      <c r="E50" s="66">
        <f>D50/Discount!B35</f>
        <v>53029.112890832366</v>
      </c>
    </row>
    <row r="51" spans="1:6" s="54" customFormat="1">
      <c r="A51" s="54">
        <v>2055</v>
      </c>
      <c r="B51" s="54">
        <v>26</v>
      </c>
      <c r="C51" s="223">
        <f t="shared" si="0"/>
        <v>31125539.26099224</v>
      </c>
      <c r="D51" s="223">
        <f t="shared" si="1"/>
        <v>466883.08891488361</v>
      </c>
      <c r="E51" s="66">
        <f>D51/Discount!B36</f>
        <v>50066.067427003196</v>
      </c>
    </row>
    <row r="52" spans="1:6" s="54" customFormat="1">
      <c r="A52" s="54">
        <v>2056</v>
      </c>
      <c r="B52" s="54">
        <v>27</v>
      </c>
      <c r="C52" s="223">
        <f t="shared" si="0"/>
        <v>31443420.241429713</v>
      </c>
      <c r="D52" s="223">
        <f t="shared" si="1"/>
        <v>471651.30362144567</v>
      </c>
      <c r="E52" s="66">
        <f>D52/Discount!B37</f>
        <v>47268.584574768014</v>
      </c>
    </row>
    <row r="53" spans="1:6" s="54" customFormat="1">
      <c r="A53" s="54">
        <v>2057</v>
      </c>
      <c r="B53" s="54">
        <v>28</v>
      </c>
      <c r="C53" s="223">
        <f t="shared" si="0"/>
        <v>31764547.697916213</v>
      </c>
      <c r="D53" s="223">
        <f t="shared" si="1"/>
        <v>476468.21546874318</v>
      </c>
      <c r="E53" s="66">
        <f>D53/Discount!B38</f>
        <v>44627.413386514825</v>
      </c>
    </row>
    <row r="54" spans="1:6" s="54" customFormat="1">
      <c r="A54" s="54">
        <v>2058</v>
      </c>
      <c r="B54" s="54">
        <v>29</v>
      </c>
      <c r="C54" s="223">
        <f t="shared" si="0"/>
        <v>32088954.786278561</v>
      </c>
      <c r="D54" s="223">
        <f t="shared" si="1"/>
        <v>481334.3217941784</v>
      </c>
      <c r="E54" s="66">
        <f>D54/Discount!B39</f>
        <v>42133.819818967095</v>
      </c>
    </row>
    <row r="55" spans="1:6" s="54" customFormat="1">
      <c r="A55" s="54">
        <v>2059</v>
      </c>
      <c r="B55" s="54">
        <v>30</v>
      </c>
      <c r="C55" s="223">
        <f t="shared" si="0"/>
        <v>32416675.000959616</v>
      </c>
      <c r="D55" s="223">
        <f t="shared" si="1"/>
        <v>486250.12501439423</v>
      </c>
      <c r="E55" s="66">
        <f>D55/Discount!B40</f>
        <v>39779.557850727208</v>
      </c>
    </row>
    <row r="56" spans="1:6" s="54" customFormat="1" ht="15.75" thickBot="1">
      <c r="A56" s="67" t="s">
        <v>387</v>
      </c>
      <c r="B56" s="67"/>
      <c r="C56" s="67"/>
      <c r="D56" s="70">
        <f>SUM(D26:D45)</f>
        <v>7990674.879233473</v>
      </c>
      <c r="E56" s="70">
        <f>SUM(E26:E45)</f>
        <v>2577706.3956066398</v>
      </c>
    </row>
    <row r="57" spans="1:6" s="54" customFormat="1" ht="15.75" thickTop="1">
      <c r="F57" s="63"/>
    </row>
    <row r="58" spans="1:6" s="54" customFormat="1"/>
    <row r="59" spans="1:6" s="54" customFormat="1"/>
    <row r="60" spans="1:6" s="54" customFormat="1"/>
    <row r="61" spans="1:6" s="54" customFormat="1"/>
    <row r="62" spans="1:6" s="54" customFormat="1"/>
    <row r="63" spans="1:6" s="54" customFormat="1"/>
    <row r="64" spans="1:6"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row r="242" s="54" customFormat="1"/>
    <row r="243" s="54" customFormat="1"/>
    <row r="244" s="54" customFormat="1"/>
    <row r="245" s="54" customFormat="1"/>
    <row r="246" s="54" customFormat="1"/>
    <row r="247" s="54" customFormat="1"/>
    <row r="248" s="54" customFormat="1"/>
    <row r="249" s="54" customFormat="1"/>
    <row r="250" s="54" customFormat="1"/>
    <row r="251" s="54" customFormat="1"/>
    <row r="252" s="54" customFormat="1"/>
    <row r="253" s="54" customFormat="1"/>
    <row r="254" s="54" customFormat="1"/>
    <row r="255" s="54" customFormat="1"/>
    <row r="256" s="54" customFormat="1"/>
    <row r="257" s="54" customFormat="1"/>
    <row r="258" s="54" customFormat="1"/>
    <row r="259" s="54" customFormat="1"/>
    <row r="260" s="54" customFormat="1"/>
    <row r="261" s="54" customFormat="1"/>
    <row r="262" s="54" customFormat="1"/>
    <row r="263" s="54" customFormat="1"/>
    <row r="264" s="54" customFormat="1"/>
    <row r="265" s="54" customFormat="1"/>
    <row r="266" s="54" customFormat="1"/>
    <row r="267" s="54" customFormat="1"/>
    <row r="268" s="54" customFormat="1"/>
    <row r="269" s="54" customFormat="1"/>
    <row r="270" s="54" customFormat="1"/>
    <row r="271" s="54" customFormat="1"/>
    <row r="272" s="54" customFormat="1"/>
    <row r="273" s="54" customFormat="1"/>
    <row r="274" s="54" customFormat="1"/>
    <row r="275" s="54" customFormat="1"/>
    <row r="276" s="54" customFormat="1"/>
    <row r="277" s="54" customFormat="1"/>
    <row r="278" s="54" customFormat="1"/>
    <row r="279" s="54" customFormat="1"/>
    <row r="280" s="54" customFormat="1"/>
    <row r="281" s="54" customFormat="1"/>
    <row r="282" s="54" customFormat="1"/>
    <row r="283" s="54" customFormat="1"/>
    <row r="284" s="54" customFormat="1"/>
    <row r="285" s="54" customFormat="1"/>
    <row r="286" s="54" customFormat="1"/>
    <row r="287" s="54" customFormat="1"/>
    <row r="288" s="54" customFormat="1"/>
    <row r="289" s="54" customFormat="1"/>
    <row r="290" s="54" customFormat="1"/>
    <row r="291" s="54" customFormat="1"/>
    <row r="292" s="54" customFormat="1"/>
    <row r="293" s="54" customFormat="1"/>
    <row r="294" s="54" customFormat="1"/>
    <row r="295" s="54" customFormat="1"/>
    <row r="296" s="54" customFormat="1"/>
    <row r="297" s="54" customFormat="1"/>
    <row r="298" s="54" customFormat="1"/>
    <row r="299" s="54" customFormat="1"/>
    <row r="300" s="54" customFormat="1"/>
    <row r="301" s="54" customFormat="1"/>
    <row r="302" s="54" customFormat="1"/>
    <row r="303" s="54" customFormat="1"/>
    <row r="304" s="54" customFormat="1"/>
    <row r="305" s="54" customFormat="1"/>
    <row r="306" s="54" customFormat="1"/>
    <row r="307" s="54" customFormat="1"/>
    <row r="308" s="54" customFormat="1"/>
    <row r="309" s="54" customFormat="1"/>
    <row r="310" s="54" customFormat="1"/>
    <row r="311" s="54" customFormat="1"/>
    <row r="312" s="54" customFormat="1"/>
    <row r="313" s="54" customFormat="1"/>
    <row r="314" s="54" customFormat="1"/>
    <row r="315" s="54" customFormat="1"/>
    <row r="316" s="54" customFormat="1"/>
    <row r="317" s="54" customFormat="1"/>
    <row r="318" s="54" customFormat="1"/>
    <row r="319" s="54" customFormat="1"/>
    <row r="320" s="54" customFormat="1"/>
    <row r="321" s="54" customFormat="1"/>
    <row r="322" s="54" customFormat="1"/>
    <row r="323" s="54" customFormat="1"/>
    <row r="324" s="54" customFormat="1"/>
    <row r="325" s="54" customFormat="1"/>
    <row r="326" s="54" customFormat="1"/>
    <row r="327" s="54" customFormat="1"/>
    <row r="328" s="54" customFormat="1"/>
    <row r="329" s="54" customFormat="1"/>
    <row r="330" s="54" customFormat="1"/>
    <row r="331" s="54" customFormat="1"/>
    <row r="332" s="54" customFormat="1"/>
    <row r="333" s="54" customFormat="1"/>
    <row r="334" s="54" customFormat="1"/>
    <row r="335" s="54" customFormat="1"/>
    <row r="336" s="54" customFormat="1"/>
    <row r="337" s="54" customFormat="1"/>
    <row r="338" s="54" customFormat="1"/>
    <row r="339" s="54" customFormat="1"/>
    <row r="340" s="54" customFormat="1"/>
    <row r="341" s="54" customFormat="1"/>
    <row r="342" s="54" customFormat="1"/>
    <row r="343" s="54" customFormat="1"/>
    <row r="344" s="54" customFormat="1"/>
    <row r="345" s="54" customFormat="1"/>
    <row r="346" s="54" customFormat="1"/>
    <row r="347" s="54" customFormat="1"/>
    <row r="348" s="54" customFormat="1"/>
    <row r="349" s="54" customFormat="1"/>
    <row r="350" s="54" customFormat="1"/>
    <row r="351" s="54" customFormat="1"/>
    <row r="352" s="54" customFormat="1"/>
    <row r="353" s="54" customFormat="1"/>
    <row r="354" s="54" customFormat="1"/>
    <row r="355" s="54" customFormat="1"/>
    <row r="356" s="54" customFormat="1"/>
    <row r="357" s="54" customFormat="1"/>
    <row r="358" s="54" customFormat="1"/>
    <row r="359" s="54" customFormat="1"/>
    <row r="360" s="54" customFormat="1"/>
    <row r="361" s="54" customFormat="1"/>
    <row r="362" s="54" customFormat="1"/>
    <row r="363" s="54" customFormat="1"/>
    <row r="364" s="54" customFormat="1"/>
    <row r="365" s="54" customFormat="1"/>
    <row r="366" s="54" customFormat="1"/>
    <row r="367" s="54" customFormat="1"/>
    <row r="368" s="54" customFormat="1"/>
    <row r="369" s="54" customFormat="1"/>
    <row r="370" s="54" customFormat="1"/>
    <row r="371" s="54" customFormat="1"/>
    <row r="372" s="54" customFormat="1"/>
    <row r="373" s="54" customFormat="1"/>
    <row r="374" s="54" customFormat="1"/>
    <row r="375" s="54" customFormat="1"/>
    <row r="376" s="54" customFormat="1"/>
    <row r="377" s="54" customFormat="1"/>
    <row r="378" s="54" customFormat="1"/>
    <row r="379" s="54" customFormat="1"/>
    <row r="380" s="54" customFormat="1"/>
    <row r="381" s="54" customFormat="1"/>
    <row r="382" s="54" customFormat="1"/>
    <row r="383" s="54" customFormat="1"/>
    <row r="384" s="54" customFormat="1"/>
    <row r="385" s="54" customFormat="1"/>
    <row r="386" s="54" customFormat="1"/>
    <row r="387" s="54" customFormat="1"/>
    <row r="388" s="54" customFormat="1"/>
    <row r="389" s="54" customFormat="1"/>
    <row r="390" s="54" customFormat="1"/>
    <row r="391" s="54" customFormat="1"/>
    <row r="392" s="54" customFormat="1"/>
    <row r="393" s="54" customFormat="1"/>
    <row r="394" s="54" customFormat="1"/>
    <row r="395" s="54" customFormat="1"/>
    <row r="396" s="54" customFormat="1"/>
    <row r="397" s="54" customFormat="1"/>
    <row r="398" s="54" customFormat="1"/>
  </sheetData>
  <mergeCells count="4">
    <mergeCell ref="A1:H1"/>
    <mergeCell ref="A2:H2"/>
    <mergeCell ref="A3:H3"/>
    <mergeCell ref="A4:H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RAISE Matrix</vt:lpstr>
      <vt:lpstr>Summary Matrix</vt:lpstr>
      <vt:lpstr>NoBuild-Deferred Maintenance</vt:lpstr>
      <vt:lpstr>NoBuild-Required Safety Improve</vt:lpstr>
      <vt:lpstr>Initial Cost</vt:lpstr>
      <vt:lpstr>Maintenance Cost</vt:lpstr>
      <vt:lpstr>State of Good Repair</vt:lpstr>
      <vt:lpstr>Travel Time Savings</vt:lpstr>
      <vt:lpstr>Tourism Economic Growth</vt:lpstr>
      <vt:lpstr>Crash Reduction Savings</vt:lpstr>
      <vt:lpstr>EMS Response Savings</vt:lpstr>
      <vt:lpstr>Environmental Savings</vt:lpstr>
      <vt:lpstr>Pathway Health Savings</vt:lpstr>
      <vt:lpstr>Discount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Molly Herrington</dc:creator>
  <cp:lastModifiedBy>Tonya Huber</cp:lastModifiedBy>
  <dcterms:created xsi:type="dcterms:W3CDTF">2018-06-29T19:04:15Z</dcterms:created>
  <dcterms:modified xsi:type="dcterms:W3CDTF">2021-08-03T15:41:05Z</dcterms:modified>
</cp:coreProperties>
</file>